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ttps://verbandsa.sharepoint.com/Shared Documents/VSA_Daten/_07 Projekt- und Verbandsarbeit/2 Konzepte/Faulung 811-29/Vernehmlassung/"/>
    </mc:Choice>
  </mc:AlternateContent>
  <xr:revisionPtr revIDLastSave="1" documentId="13_ncr:1_{890F3485-664F-4FE8-A375-0DD06838E078}" xr6:coauthVersionLast="47" xr6:coauthVersionMax="47" xr10:uidLastSave="{BC8BE483-54BC-4E1F-901D-CD314076046F}"/>
  <bookViews>
    <workbookView minimized="1" xWindow="29970" yWindow="-1560" windowWidth="25755" windowHeight="11385" tabRatio="840" xr2:uid="{00000000-000D-0000-FFFF-FFFF00000000}"/>
  </bookViews>
  <sheets>
    <sheet name="Legende" sheetId="28" r:id="rId1"/>
    <sheet name="Vorgehen" sheetId="3" r:id="rId2"/>
    <sheet name="Anlagendaten" sheetId="36" r:id="rId3"/>
    <sheet name="Ausgangssubstrate" sheetId="29" r:id="rId4"/>
    <sheet name="Kennwerte Massenflüsse" sheetId="4" r:id="rId5"/>
    <sheet name="Beurteilung Kennwerte" sheetId="43" r:id="rId6"/>
    <sheet name="Datenbank Substrate" sheetId="38" r:id="rId7"/>
    <sheet name="Grundlagen" sheetId="15" r:id="rId8"/>
    <sheet name="Schlammmenge" sheetId="34" r:id="rId9"/>
    <sheet name="oTS aus BSB oder TOC" sheetId="8" r:id="rId10"/>
    <sheet name="spez. Methanertrag" sheetId="14" r:id="rId11"/>
    <sheet name="Methananteil" sheetId="30" r:id="rId12"/>
    <sheet name="Abbaugrad" sheetId="37" r:id="rId13"/>
    <sheet name="Methanproduktion" sheetId="1" r:id="rId14"/>
    <sheet name="Energieproduktion" sheetId="11" r:id="rId15"/>
    <sheet name="Verweilzeit" sheetId="31" r:id="rId16"/>
    <sheet name="Raumbelastung" sheetId="32" r:id="rId17"/>
  </sheets>
  <definedNames>
    <definedName name="_xlnm.Print_Titles" localSheetId="3">Ausgangssubstrate!$4:$5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1" l="1"/>
  <c r="B14" i="31" s="1"/>
  <c r="B7" i="31"/>
  <c r="B13" i="31" s="1"/>
  <c r="B6" i="31"/>
  <c r="B6" i="32" s="1"/>
  <c r="B12" i="32" s="1"/>
  <c r="B5" i="31"/>
  <c r="B11" i="31" s="1"/>
  <c r="F21" i="30"/>
  <c r="F22" i="30"/>
  <c r="F23" i="30"/>
  <c r="F20" i="30"/>
  <c r="C7" i="43"/>
  <c r="J60" i="4"/>
  <c r="J36" i="4"/>
  <c r="J35" i="4"/>
  <c r="E62" i="4"/>
  <c r="E77" i="4"/>
  <c r="A77" i="4"/>
  <c r="E76" i="4"/>
  <c r="A76" i="4"/>
  <c r="E75" i="4"/>
  <c r="A75" i="4"/>
  <c r="E73" i="4"/>
  <c r="A73" i="4"/>
  <c r="E72" i="4"/>
  <c r="A72" i="4"/>
  <c r="E71" i="4"/>
  <c r="A71" i="4"/>
  <c r="E69" i="4"/>
  <c r="A69" i="4"/>
  <c r="E68" i="4"/>
  <c r="A68" i="4"/>
  <c r="E67" i="4"/>
  <c r="A67" i="4"/>
  <c r="E65" i="4"/>
  <c r="A65" i="4"/>
  <c r="E64" i="4"/>
  <c r="A64" i="4"/>
  <c r="E63" i="4"/>
  <c r="A63" i="4"/>
  <c r="D62" i="4"/>
  <c r="C62" i="4"/>
  <c r="B62" i="4"/>
  <c r="A62" i="4"/>
  <c r="E35" i="4"/>
  <c r="E36" i="4"/>
  <c r="E60" i="4"/>
  <c r="C6" i="43"/>
  <c r="C5" i="43"/>
  <c r="B7" i="34"/>
  <c r="B8" i="34" s="1"/>
  <c r="C21" i="38"/>
  <c r="B7" i="32" l="1"/>
  <c r="B13" i="32" s="1"/>
  <c r="B8" i="32"/>
  <c r="B14" i="32" s="1"/>
  <c r="B12" i="31"/>
  <c r="B5" i="32"/>
  <c r="B11" i="32" s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5" i="1"/>
  <c r="T4" i="1"/>
  <c r="D35" i="4"/>
  <c r="G35" i="4"/>
  <c r="F35" i="4"/>
  <c r="C35" i="4"/>
  <c r="A30" i="4"/>
  <c r="C31" i="4"/>
  <c r="D31" i="4"/>
  <c r="E31" i="4"/>
  <c r="F31" i="4"/>
  <c r="G31" i="4"/>
  <c r="H31" i="4"/>
  <c r="B59" i="4"/>
  <c r="B60" i="4"/>
  <c r="C60" i="4"/>
  <c r="D60" i="4"/>
  <c r="F60" i="4"/>
  <c r="G60" i="4"/>
  <c r="H60" i="4"/>
  <c r="I60" i="4"/>
  <c r="D8" i="29" l="1"/>
  <c r="F8" i="29"/>
  <c r="B10" i="37" s="1"/>
  <c r="G8" i="29"/>
  <c r="D9" i="29"/>
  <c r="F9" i="29"/>
  <c r="G9" i="29"/>
  <c r="D10" i="29"/>
  <c r="F10" i="29"/>
  <c r="G10" i="29"/>
  <c r="D11" i="29"/>
  <c r="F11" i="29"/>
  <c r="G11" i="29"/>
  <c r="B14" i="37"/>
  <c r="J18" i="8"/>
  <c r="J9" i="8"/>
  <c r="J10" i="8"/>
  <c r="J11" i="8"/>
  <c r="F11" i="8" s="1"/>
  <c r="J12" i="8"/>
  <c r="J13" i="8"/>
  <c r="J14" i="8"/>
  <c r="J15" i="8"/>
  <c r="J16" i="8"/>
  <c r="J17" i="8"/>
  <c r="J19" i="8"/>
  <c r="J20" i="8"/>
  <c r="J21" i="8"/>
  <c r="J22" i="8"/>
  <c r="J23" i="8"/>
  <c r="J24" i="8"/>
  <c r="J25" i="8"/>
  <c r="J26" i="8"/>
  <c r="J27" i="8"/>
  <c r="J28" i="8"/>
  <c r="J29" i="8"/>
  <c r="E7" i="4" l="1"/>
  <c r="B6" i="4"/>
  <c r="C6" i="4"/>
  <c r="D6" i="4"/>
  <c r="E6" i="4"/>
  <c r="F6" i="4"/>
  <c r="G6" i="4"/>
  <c r="H6" i="4"/>
  <c r="B35" i="4"/>
  <c r="H35" i="4"/>
  <c r="I35" i="4"/>
  <c r="B7" i="4"/>
  <c r="C7" i="4"/>
  <c r="G7" i="4"/>
  <c r="H7" i="4"/>
  <c r="C36" i="4"/>
  <c r="D36" i="4"/>
  <c r="F36" i="4"/>
  <c r="G36" i="4"/>
  <c r="H36" i="4"/>
  <c r="I36" i="4"/>
  <c r="A7" i="4"/>
  <c r="A36" i="4" s="1"/>
  <c r="A6" i="4"/>
  <c r="A35" i="4" s="1"/>
  <c r="D6" i="29"/>
  <c r="B6" i="1"/>
  <c r="B7" i="1"/>
  <c r="C7" i="1" s="1"/>
  <c r="C9" i="4" s="1"/>
  <c r="B8" i="1"/>
  <c r="C8" i="1" s="1"/>
  <c r="C10" i="4" s="1"/>
  <c r="B9" i="1"/>
  <c r="C9" i="1" s="1"/>
  <c r="C11" i="4" s="1"/>
  <c r="B10" i="1"/>
  <c r="C10" i="1" s="1"/>
  <c r="C12" i="4" s="1"/>
  <c r="B11" i="1"/>
  <c r="C11" i="1" s="1"/>
  <c r="C13" i="4" s="1"/>
  <c r="B12" i="1"/>
  <c r="C12" i="1" s="1"/>
  <c r="C14" i="4" s="1"/>
  <c r="B13" i="1"/>
  <c r="C13" i="1" s="1"/>
  <c r="C15" i="4" s="1"/>
  <c r="B14" i="1"/>
  <c r="C14" i="1" s="1"/>
  <c r="C16" i="4" s="1"/>
  <c r="B15" i="1"/>
  <c r="C15" i="1" s="1"/>
  <c r="C17" i="4" s="1"/>
  <c r="B16" i="1"/>
  <c r="C16" i="1" s="1"/>
  <c r="C18" i="4" s="1"/>
  <c r="B17" i="1"/>
  <c r="C17" i="1" s="1"/>
  <c r="C19" i="4" s="1"/>
  <c r="B18" i="1"/>
  <c r="C18" i="1" s="1"/>
  <c r="C20" i="4" s="1"/>
  <c r="B19" i="1"/>
  <c r="C19" i="1" s="1"/>
  <c r="C21" i="4" s="1"/>
  <c r="B20" i="1"/>
  <c r="C20" i="1" s="1"/>
  <c r="C22" i="4" s="1"/>
  <c r="B21" i="1"/>
  <c r="C21" i="1" s="1"/>
  <c r="C23" i="4" s="1"/>
  <c r="B22" i="1"/>
  <c r="C22" i="1" s="1"/>
  <c r="C24" i="4" s="1"/>
  <c r="B23" i="1"/>
  <c r="C23" i="1" s="1"/>
  <c r="C25" i="4" s="1"/>
  <c r="B24" i="1"/>
  <c r="C24" i="1" s="1"/>
  <c r="C26" i="4" s="1"/>
  <c r="B25" i="1"/>
  <c r="C25" i="1" s="1"/>
  <c r="C27" i="4" s="1"/>
  <c r="B26" i="1"/>
  <c r="C26" i="1" s="1"/>
  <c r="C28" i="4" s="1"/>
  <c r="B27" i="1"/>
  <c r="C27" i="1" s="1"/>
  <c r="C29" i="4" s="1"/>
  <c r="A23" i="1"/>
  <c r="M23" i="1" s="1"/>
  <c r="F54" i="4" s="1"/>
  <c r="A24" i="1"/>
  <c r="F24" i="1" s="1"/>
  <c r="F26" i="4" s="1"/>
  <c r="A25" i="1"/>
  <c r="F25" i="1" s="1"/>
  <c r="F27" i="4" s="1"/>
  <c r="A26" i="1"/>
  <c r="F26" i="1" s="1"/>
  <c r="F28" i="4" s="1"/>
  <c r="A27" i="1"/>
  <c r="D27" i="1" s="1"/>
  <c r="D29" i="4" s="1"/>
  <c r="A7" i="1"/>
  <c r="M7" i="1" s="1"/>
  <c r="F38" i="4" s="1"/>
  <c r="A8" i="1"/>
  <c r="F8" i="1" s="1"/>
  <c r="F10" i="4" s="1"/>
  <c r="A9" i="1"/>
  <c r="F9" i="1" s="1"/>
  <c r="F11" i="4" s="1"/>
  <c r="A10" i="1"/>
  <c r="F10" i="1" s="1"/>
  <c r="F12" i="4" s="1"/>
  <c r="A11" i="1"/>
  <c r="D11" i="1" s="1"/>
  <c r="D13" i="4" s="1"/>
  <c r="A12" i="1"/>
  <c r="D12" i="1" s="1"/>
  <c r="D14" i="4" s="1"/>
  <c r="A13" i="1"/>
  <c r="D13" i="1" s="1"/>
  <c r="D15" i="4" s="1"/>
  <c r="A14" i="1"/>
  <c r="J14" i="1" s="1"/>
  <c r="C45" i="4" s="1"/>
  <c r="A15" i="1"/>
  <c r="M15" i="1" s="1"/>
  <c r="F46" i="4" s="1"/>
  <c r="A16" i="1"/>
  <c r="F16" i="1" s="1"/>
  <c r="F18" i="4" s="1"/>
  <c r="A17" i="1"/>
  <c r="F17" i="1" s="1"/>
  <c r="F19" i="4" s="1"/>
  <c r="A18" i="1"/>
  <c r="F18" i="1" s="1"/>
  <c r="F20" i="4" s="1"/>
  <c r="A19" i="1"/>
  <c r="D19" i="1" s="1"/>
  <c r="D21" i="4" s="1"/>
  <c r="A20" i="1"/>
  <c r="D20" i="1" s="1"/>
  <c r="D22" i="4" s="1"/>
  <c r="A21" i="1"/>
  <c r="D21" i="1" s="1"/>
  <c r="A22" i="1"/>
  <c r="J22" i="1" s="1"/>
  <c r="C53" i="4" s="1"/>
  <c r="A6" i="1"/>
  <c r="D6" i="1" s="1"/>
  <c r="A9" i="37"/>
  <c r="A10" i="37"/>
  <c r="A11" i="37"/>
  <c r="A12" i="37"/>
  <c r="C12" i="37" s="1"/>
  <c r="A13" i="37"/>
  <c r="A14" i="37"/>
  <c r="C14" i="37" s="1"/>
  <c r="A15" i="37"/>
  <c r="A16" i="37"/>
  <c r="C16" i="37" s="1"/>
  <c r="A17" i="37"/>
  <c r="A18" i="37"/>
  <c r="A19" i="37"/>
  <c r="A20" i="37"/>
  <c r="C20" i="37" s="1"/>
  <c r="A21" i="37"/>
  <c r="A22" i="37"/>
  <c r="A23" i="37"/>
  <c r="A24" i="37"/>
  <c r="C24" i="37" s="1"/>
  <c r="A25" i="37"/>
  <c r="A26" i="37"/>
  <c r="A27" i="37"/>
  <c r="A28" i="37"/>
  <c r="C28" i="37" s="1"/>
  <c r="A29" i="37"/>
  <c r="A8" i="37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F25" i="14"/>
  <c r="F26" i="14"/>
  <c r="F27" i="14"/>
  <c r="F28" i="14"/>
  <c r="F29" i="14"/>
  <c r="A28" i="8"/>
  <c r="F28" i="8"/>
  <c r="A29" i="8"/>
  <c r="F29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8" i="8"/>
  <c r="L6" i="38"/>
  <c r="P65" i="38"/>
  <c r="B12" i="37"/>
  <c r="B13" i="37"/>
  <c r="G12" i="29"/>
  <c r="F13" i="29"/>
  <c r="B15" i="37" s="1"/>
  <c r="G13" i="29"/>
  <c r="F14" i="29"/>
  <c r="B16" i="37" s="1"/>
  <c r="G14" i="29"/>
  <c r="H37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0" i="14"/>
  <c r="F9" i="14"/>
  <c r="F8" i="14"/>
  <c r="F19" i="8"/>
  <c r="F20" i="8"/>
  <c r="F21" i="8"/>
  <c r="F22" i="8"/>
  <c r="F23" i="8"/>
  <c r="F24" i="8"/>
  <c r="F25" i="8"/>
  <c r="F26" i="8"/>
  <c r="F27" i="8"/>
  <c r="J8" i="8"/>
  <c r="D14" i="29"/>
  <c r="F6" i="29"/>
  <c r="B8" i="37" s="1"/>
  <c r="G7" i="29"/>
  <c r="G15" i="29"/>
  <c r="G16" i="29"/>
  <c r="G17" i="29"/>
  <c r="G18" i="29"/>
  <c r="G19" i="29"/>
  <c r="G20" i="29"/>
  <c r="G21" i="29"/>
  <c r="G22" i="29"/>
  <c r="G23" i="29"/>
  <c r="G24" i="29"/>
  <c r="G25" i="29"/>
  <c r="G26" i="29"/>
  <c r="G27" i="29"/>
  <c r="G6" i="29"/>
  <c r="F7" i="29"/>
  <c r="B9" i="37" s="1"/>
  <c r="B11" i="37"/>
  <c r="F15" i="29"/>
  <c r="B17" i="37" s="1"/>
  <c r="F16" i="29"/>
  <c r="B18" i="37" s="1"/>
  <c r="F17" i="29"/>
  <c r="B19" i="37" s="1"/>
  <c r="F18" i="29"/>
  <c r="B20" i="37" s="1"/>
  <c r="F19" i="29"/>
  <c r="B21" i="37" s="1"/>
  <c r="F20" i="29"/>
  <c r="B22" i="37" s="1"/>
  <c r="F21" i="29"/>
  <c r="B23" i="37" s="1"/>
  <c r="F22" i="29"/>
  <c r="B24" i="37" s="1"/>
  <c r="F23" i="29"/>
  <c r="B25" i="37" s="1"/>
  <c r="F24" i="29"/>
  <c r="B26" i="37" s="1"/>
  <c r="F25" i="29"/>
  <c r="B27" i="37" s="1"/>
  <c r="F26" i="29"/>
  <c r="B28" i="37" s="1"/>
  <c r="F27" i="29"/>
  <c r="B29" i="37" s="1"/>
  <c r="D7" i="29"/>
  <c r="D12" i="29"/>
  <c r="D13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U12" i="38"/>
  <c r="U11" i="38"/>
  <c r="U10" i="38"/>
  <c r="U9" i="38"/>
  <c r="U7" i="38"/>
  <c r="U6" i="38"/>
  <c r="C6" i="1" l="1"/>
  <c r="B28" i="1"/>
  <c r="C8" i="4"/>
  <c r="C28" i="1"/>
  <c r="E6" i="1"/>
  <c r="B16" i="4"/>
  <c r="B12" i="4"/>
  <c r="A25" i="4"/>
  <c r="A54" i="4" s="1"/>
  <c r="B28" i="4"/>
  <c r="B8" i="4"/>
  <c r="E21" i="1"/>
  <c r="E23" i="4" s="1"/>
  <c r="B24" i="4"/>
  <c r="B20" i="4"/>
  <c r="A9" i="4"/>
  <c r="A38" i="4" s="1"/>
  <c r="B29" i="4"/>
  <c r="B25" i="4"/>
  <c r="B21" i="4"/>
  <c r="B17" i="4"/>
  <c r="B13" i="4"/>
  <c r="B9" i="4"/>
  <c r="A13" i="4"/>
  <c r="A42" i="4" s="1"/>
  <c r="A26" i="4"/>
  <c r="A55" i="4" s="1"/>
  <c r="A27" i="4"/>
  <c r="A56" i="4" s="1"/>
  <c r="B27" i="4"/>
  <c r="B23" i="4"/>
  <c r="B19" i="4"/>
  <c r="B15" i="4"/>
  <c r="B11" i="4"/>
  <c r="A28" i="4"/>
  <c r="A57" i="4" s="1"/>
  <c r="A29" i="4"/>
  <c r="A58" i="4" s="1"/>
  <c r="B26" i="4"/>
  <c r="B22" i="4"/>
  <c r="B18" i="4"/>
  <c r="B14" i="4"/>
  <c r="B10" i="4"/>
  <c r="F22" i="1"/>
  <c r="F24" i="4" s="1"/>
  <c r="A14" i="4"/>
  <c r="A43" i="4" s="1"/>
  <c r="A24" i="4"/>
  <c r="A53" i="4" s="1"/>
  <c r="A22" i="4"/>
  <c r="A51" i="4" s="1"/>
  <c r="A15" i="4"/>
  <c r="A44" i="4" s="1"/>
  <c r="A16" i="4"/>
  <c r="A45" i="4" s="1"/>
  <c r="A17" i="4"/>
  <c r="A46" i="4" s="1"/>
  <c r="A19" i="4"/>
  <c r="A48" i="4" s="1"/>
  <c r="A11" i="4"/>
  <c r="A40" i="4" s="1"/>
  <c r="A20" i="4"/>
  <c r="A49" i="4" s="1"/>
  <c r="A12" i="4"/>
  <c r="A41" i="4" s="1"/>
  <c r="A21" i="4"/>
  <c r="A50" i="4" s="1"/>
  <c r="A10" i="4"/>
  <c r="A39" i="4" s="1"/>
  <c r="D23" i="4"/>
  <c r="A23" i="4"/>
  <c r="A52" i="4" s="1"/>
  <c r="A18" i="4"/>
  <c r="A47" i="4" s="1"/>
  <c r="A8" i="4"/>
  <c r="A37" i="4" s="1"/>
  <c r="D8" i="4"/>
  <c r="C27" i="37"/>
  <c r="D25" i="1"/>
  <c r="F14" i="1"/>
  <c r="J6" i="1"/>
  <c r="C37" i="4" s="1"/>
  <c r="J20" i="1"/>
  <c r="J12" i="1"/>
  <c r="C43" i="4" s="1"/>
  <c r="M21" i="1"/>
  <c r="M13" i="1"/>
  <c r="F44" i="4" s="1"/>
  <c r="E13" i="1"/>
  <c r="E20" i="1"/>
  <c r="E22" i="4" s="1"/>
  <c r="E12" i="1"/>
  <c r="E14" i="4" s="1"/>
  <c r="E27" i="1"/>
  <c r="E29" i="4" s="1"/>
  <c r="E19" i="1"/>
  <c r="E21" i="4" s="1"/>
  <c r="E11" i="1"/>
  <c r="E13" i="4" s="1"/>
  <c r="D17" i="1"/>
  <c r="D26" i="1"/>
  <c r="D18" i="1"/>
  <c r="D10" i="1"/>
  <c r="F23" i="1"/>
  <c r="F25" i="4" s="1"/>
  <c r="F15" i="1"/>
  <c r="F7" i="1"/>
  <c r="F9" i="4" s="1"/>
  <c r="J21" i="1"/>
  <c r="J13" i="1"/>
  <c r="C44" i="4" s="1"/>
  <c r="M22" i="1"/>
  <c r="M14" i="1"/>
  <c r="D9" i="1"/>
  <c r="D24" i="1"/>
  <c r="D16" i="1"/>
  <c r="D8" i="1"/>
  <c r="F21" i="1"/>
  <c r="F13" i="1"/>
  <c r="J27" i="1"/>
  <c r="C58" i="4" s="1"/>
  <c r="J19" i="1"/>
  <c r="J11" i="1"/>
  <c r="C42" i="4" s="1"/>
  <c r="M6" i="1"/>
  <c r="M20" i="1"/>
  <c r="M12" i="1"/>
  <c r="F43" i="4" s="1"/>
  <c r="D23" i="1"/>
  <c r="D15" i="1"/>
  <c r="D7" i="1"/>
  <c r="F20" i="1"/>
  <c r="F22" i="4" s="1"/>
  <c r="F12" i="1"/>
  <c r="F14" i="4" s="1"/>
  <c r="J26" i="1"/>
  <c r="C57" i="4" s="1"/>
  <c r="J18" i="1"/>
  <c r="J10" i="1"/>
  <c r="M27" i="1"/>
  <c r="F58" i="4" s="1"/>
  <c r="M19" i="1"/>
  <c r="M11" i="1"/>
  <c r="F42" i="4" s="1"/>
  <c r="D22" i="1"/>
  <c r="D14" i="1"/>
  <c r="F27" i="1"/>
  <c r="F29" i="4" s="1"/>
  <c r="F19" i="1"/>
  <c r="F11" i="1"/>
  <c r="F13" i="4" s="1"/>
  <c r="J25" i="1"/>
  <c r="J17" i="1"/>
  <c r="J9" i="1"/>
  <c r="C40" i="4" s="1"/>
  <c r="M26" i="1"/>
  <c r="F57" i="4" s="1"/>
  <c r="M18" i="1"/>
  <c r="M10" i="1"/>
  <c r="F41" i="4" s="1"/>
  <c r="F6" i="1"/>
  <c r="J24" i="1"/>
  <c r="C55" i="4" s="1"/>
  <c r="J16" i="1"/>
  <c r="C47" i="4" s="1"/>
  <c r="J8" i="1"/>
  <c r="M25" i="1"/>
  <c r="F56" i="4" s="1"/>
  <c r="M17" i="1"/>
  <c r="M9" i="1"/>
  <c r="F40" i="4" s="1"/>
  <c r="J23" i="1"/>
  <c r="J15" i="1"/>
  <c r="J7" i="1"/>
  <c r="M24" i="1"/>
  <c r="F55" i="4" s="1"/>
  <c r="M16" i="1"/>
  <c r="F47" i="4" s="1"/>
  <c r="M8" i="1"/>
  <c r="F39" i="4" s="1"/>
  <c r="I6" i="29"/>
  <c r="C19" i="37"/>
  <c r="C23" i="37"/>
  <c r="C15" i="37"/>
  <c r="C11" i="37"/>
  <c r="C26" i="37"/>
  <c r="C22" i="37"/>
  <c r="C18" i="37"/>
  <c r="C10" i="37"/>
  <c r="C29" i="37"/>
  <c r="C25" i="37"/>
  <c r="C21" i="37"/>
  <c r="C17" i="37"/>
  <c r="C13" i="37"/>
  <c r="C9" i="37"/>
  <c r="B30" i="4"/>
  <c r="C8" i="37"/>
  <c r="U8" i="38"/>
  <c r="E8" i="4" l="1"/>
  <c r="E10" i="1"/>
  <c r="D12" i="4"/>
  <c r="E24" i="1"/>
  <c r="D26" i="4"/>
  <c r="N8" i="1"/>
  <c r="G39" i="4" s="1"/>
  <c r="C39" i="4"/>
  <c r="E7" i="1"/>
  <c r="D9" i="4"/>
  <c r="N22" i="1"/>
  <c r="G53" i="4" s="1"/>
  <c r="F53" i="4"/>
  <c r="E26" i="1"/>
  <c r="D28" i="4"/>
  <c r="E9" i="1"/>
  <c r="D11" i="4"/>
  <c r="N14" i="1"/>
  <c r="G45" i="4" s="1"/>
  <c r="F45" i="4"/>
  <c r="N25" i="1"/>
  <c r="G56" i="4" s="1"/>
  <c r="C56" i="4"/>
  <c r="E25" i="1"/>
  <c r="D27" i="4"/>
  <c r="N7" i="1"/>
  <c r="G38" i="4" s="1"/>
  <c r="C38" i="4"/>
  <c r="E23" i="1"/>
  <c r="D25" i="4"/>
  <c r="N15" i="1"/>
  <c r="G46" i="4" s="1"/>
  <c r="C46" i="4"/>
  <c r="N10" i="1"/>
  <c r="G41" i="4" s="1"/>
  <c r="C41" i="4"/>
  <c r="E8" i="1"/>
  <c r="D10" i="4"/>
  <c r="E22" i="1"/>
  <c r="D24" i="4"/>
  <c r="G19" i="1"/>
  <c r="G21" i="4" s="1"/>
  <c r="F21" i="4"/>
  <c r="N23" i="1"/>
  <c r="G54" i="4" s="1"/>
  <c r="C54" i="4"/>
  <c r="G21" i="1"/>
  <c r="G23" i="4" s="1"/>
  <c r="F23" i="4"/>
  <c r="G6" i="1"/>
  <c r="F8" i="4"/>
  <c r="N6" i="1"/>
  <c r="G37" i="4" s="1"/>
  <c r="F37" i="4"/>
  <c r="F16" i="4"/>
  <c r="F48" i="4"/>
  <c r="F17" i="4"/>
  <c r="C50" i="4"/>
  <c r="E15" i="4"/>
  <c r="C48" i="4"/>
  <c r="F50" i="4"/>
  <c r="F52" i="4"/>
  <c r="C52" i="4"/>
  <c r="C49" i="4"/>
  <c r="F49" i="4"/>
  <c r="C51" i="4"/>
  <c r="E17" i="1"/>
  <c r="D19" i="4"/>
  <c r="E15" i="1"/>
  <c r="D17" i="4"/>
  <c r="G13" i="1"/>
  <c r="F15" i="4"/>
  <c r="N20" i="1"/>
  <c r="F51" i="4"/>
  <c r="E16" i="1"/>
  <c r="D18" i="4"/>
  <c r="E14" i="1"/>
  <c r="D16" i="4"/>
  <c r="E18" i="1"/>
  <c r="D20" i="4"/>
  <c r="N21" i="1"/>
  <c r="N12" i="1"/>
  <c r="G43" i="4" s="1"/>
  <c r="N16" i="1"/>
  <c r="G47" i="4" s="1"/>
  <c r="N13" i="1"/>
  <c r="G44" i="4" s="1"/>
  <c r="N11" i="1"/>
  <c r="G42" i="4" s="1"/>
  <c r="N17" i="1"/>
  <c r="N27" i="1"/>
  <c r="G58" i="4" s="1"/>
  <c r="N24" i="1"/>
  <c r="G55" i="4" s="1"/>
  <c r="G11" i="1"/>
  <c r="G13" i="4" s="1"/>
  <c r="N18" i="1"/>
  <c r="G27" i="1"/>
  <c r="G29" i="4" s="1"/>
  <c r="N26" i="1"/>
  <c r="G57" i="4" s="1"/>
  <c r="G12" i="1"/>
  <c r="G14" i="4" s="1"/>
  <c r="G20" i="1"/>
  <c r="G22" i="4" s="1"/>
  <c r="N9" i="1"/>
  <c r="G40" i="4" s="1"/>
  <c r="N19" i="1"/>
  <c r="P13" i="38"/>
  <c r="I7" i="29"/>
  <c r="I8" i="29"/>
  <c r="I9" i="29"/>
  <c r="I10" i="29"/>
  <c r="I11" i="29"/>
  <c r="I12" i="29"/>
  <c r="I13" i="29"/>
  <c r="I14" i="29"/>
  <c r="I15" i="29"/>
  <c r="I16" i="29"/>
  <c r="I17" i="29"/>
  <c r="H19" i="8" s="1"/>
  <c r="I19" i="8" s="1"/>
  <c r="C19" i="8" s="1"/>
  <c r="I18" i="29"/>
  <c r="H20" i="8" s="1"/>
  <c r="I20" i="8" s="1"/>
  <c r="C20" i="8" s="1"/>
  <c r="I19" i="29"/>
  <c r="H21" i="8" s="1"/>
  <c r="I21" i="8" s="1"/>
  <c r="C21" i="8" s="1"/>
  <c r="I20" i="29"/>
  <c r="H22" i="8" s="1"/>
  <c r="I22" i="8" s="1"/>
  <c r="C22" i="8" s="1"/>
  <c r="I21" i="29"/>
  <c r="H23" i="8" s="1"/>
  <c r="I23" i="8" s="1"/>
  <c r="C23" i="8" s="1"/>
  <c r="I22" i="29"/>
  <c r="H24" i="8" s="1"/>
  <c r="I24" i="8" s="1"/>
  <c r="C24" i="8" s="1"/>
  <c r="I23" i="29"/>
  <c r="H25" i="8" s="1"/>
  <c r="I25" i="8" s="1"/>
  <c r="C25" i="8" s="1"/>
  <c r="I24" i="29"/>
  <c r="H26" i="8" s="1"/>
  <c r="I26" i="8" s="1"/>
  <c r="C26" i="8" s="1"/>
  <c r="I25" i="29"/>
  <c r="H27" i="8" s="1"/>
  <c r="I27" i="8" s="1"/>
  <c r="C27" i="8" s="1"/>
  <c r="I26" i="29"/>
  <c r="H28" i="8" s="1"/>
  <c r="I28" i="8" s="1"/>
  <c r="C28" i="8" s="1"/>
  <c r="I27" i="29"/>
  <c r="H29" i="8" s="1"/>
  <c r="I29" i="8" s="1"/>
  <c r="C29" i="8" s="1"/>
  <c r="P32" i="38"/>
  <c r="P17" i="38"/>
  <c r="P29" i="38"/>
  <c r="P70" i="38"/>
  <c r="P66" i="38"/>
  <c r="P27" i="38"/>
  <c r="P57" i="38"/>
  <c r="P16" i="38"/>
  <c r="P34" i="38"/>
  <c r="P58" i="38"/>
  <c r="P33" i="38"/>
  <c r="P15" i="38"/>
  <c r="P62" i="38"/>
  <c r="P43" i="38"/>
  <c r="P22" i="38"/>
  <c r="P31" i="38"/>
  <c r="P73" i="38"/>
  <c r="P75" i="38"/>
  <c r="P76" i="38"/>
  <c r="P80" i="38"/>
  <c r="P52" i="38"/>
  <c r="P54" i="38"/>
  <c r="P55" i="38"/>
  <c r="P67" i="38"/>
  <c r="P48" i="38"/>
  <c r="P30" i="38"/>
  <c r="P71" i="38"/>
  <c r="P28" i="38"/>
  <c r="P56" i="38"/>
  <c r="P45" i="38"/>
  <c r="P74" i="38"/>
  <c r="P77" i="38"/>
  <c r="P50" i="38"/>
  <c r="P47" i="38"/>
  <c r="P42" i="38"/>
  <c r="P41" i="38"/>
  <c r="P81" i="38"/>
  <c r="P68" i="38"/>
  <c r="P39" i="38"/>
  <c r="P46" i="38"/>
  <c r="P79" i="38"/>
  <c r="P26" i="38"/>
  <c r="P24" i="38"/>
  <c r="P23" i="38"/>
  <c r="P40" i="38"/>
  <c r="P44" i="38"/>
  <c r="P19" i="38"/>
  <c r="P38" i="38"/>
  <c r="P37" i="38"/>
  <c r="P83" i="38"/>
  <c r="P49" i="38"/>
  <c r="P18" i="38"/>
  <c r="P82" i="38"/>
  <c r="P72" i="38"/>
  <c r="P14" i="38"/>
  <c r="P20" i="38"/>
  <c r="P53" i="38"/>
  <c r="P60" i="38"/>
  <c r="P59" i="38"/>
  <c r="P35" i="38"/>
  <c r="P51" i="38"/>
  <c r="P61" i="38"/>
  <c r="P25" i="38"/>
  <c r="P64" i="38"/>
  <c r="P69" i="38"/>
  <c r="P36" i="38"/>
  <c r="S12" i="38"/>
  <c r="R12" i="38"/>
  <c r="Q12" i="38"/>
  <c r="O12" i="38"/>
  <c r="M12" i="38"/>
  <c r="L12" i="38"/>
  <c r="K12" i="38"/>
  <c r="J12" i="38"/>
  <c r="I12" i="38"/>
  <c r="G12" i="38"/>
  <c r="F12" i="38"/>
  <c r="D12" i="38"/>
  <c r="C12" i="38"/>
  <c r="S11" i="38"/>
  <c r="R11" i="38"/>
  <c r="Q11" i="38"/>
  <c r="O11" i="38"/>
  <c r="M11" i="38"/>
  <c r="L11" i="38"/>
  <c r="K11" i="38"/>
  <c r="J11" i="38"/>
  <c r="I11" i="38"/>
  <c r="G11" i="38"/>
  <c r="F11" i="38"/>
  <c r="D11" i="38"/>
  <c r="C11" i="38"/>
  <c r="S10" i="38"/>
  <c r="R10" i="38"/>
  <c r="Q10" i="38"/>
  <c r="O10" i="38"/>
  <c r="M10" i="38"/>
  <c r="L10" i="38"/>
  <c r="K10" i="38"/>
  <c r="J10" i="38"/>
  <c r="I10" i="38"/>
  <c r="G10" i="38"/>
  <c r="F10" i="38"/>
  <c r="D10" i="38"/>
  <c r="C10" i="38"/>
  <c r="S9" i="38"/>
  <c r="R9" i="38"/>
  <c r="Q9" i="38"/>
  <c r="O9" i="38"/>
  <c r="M9" i="38"/>
  <c r="L9" i="38"/>
  <c r="K9" i="38"/>
  <c r="J9" i="38"/>
  <c r="I9" i="38"/>
  <c r="G9" i="38"/>
  <c r="F9" i="38"/>
  <c r="D9" i="38"/>
  <c r="C9" i="38"/>
  <c r="S7" i="38"/>
  <c r="R7" i="38"/>
  <c r="Q7" i="38"/>
  <c r="O7" i="38"/>
  <c r="M7" i="38"/>
  <c r="L7" i="38"/>
  <c r="K7" i="38"/>
  <c r="J7" i="38"/>
  <c r="I7" i="38"/>
  <c r="G7" i="38"/>
  <c r="F7" i="38"/>
  <c r="D7" i="38"/>
  <c r="C7" i="38"/>
  <c r="S6" i="38"/>
  <c r="R6" i="38"/>
  <c r="Q6" i="38"/>
  <c r="O6" i="38"/>
  <c r="M6" i="38"/>
  <c r="K6" i="38"/>
  <c r="J6" i="38"/>
  <c r="I6" i="38"/>
  <c r="G6" i="38"/>
  <c r="F6" i="38"/>
  <c r="D6" i="38"/>
  <c r="C6" i="38"/>
  <c r="N72" i="38"/>
  <c r="H72" i="38"/>
  <c r="E72" i="38"/>
  <c r="N82" i="38"/>
  <c r="H82" i="38"/>
  <c r="E82" i="38"/>
  <c r="N18" i="38"/>
  <c r="H18" i="38"/>
  <c r="E18" i="38"/>
  <c r="N49" i="38"/>
  <c r="H49" i="38"/>
  <c r="E49" i="38"/>
  <c r="N83" i="38"/>
  <c r="H83" i="38"/>
  <c r="E83" i="38"/>
  <c r="N37" i="38"/>
  <c r="H37" i="38"/>
  <c r="E37" i="38"/>
  <c r="N38" i="38"/>
  <c r="H38" i="38"/>
  <c r="E38" i="38"/>
  <c r="N19" i="38"/>
  <c r="E19" i="38"/>
  <c r="N44" i="38"/>
  <c r="H44" i="38"/>
  <c r="E44" i="38"/>
  <c r="N13" i="38"/>
  <c r="H13" i="38"/>
  <c r="E13" i="38"/>
  <c r="E27" i="29" s="1"/>
  <c r="H27" i="29" s="1"/>
  <c r="N40" i="38"/>
  <c r="H40" i="38"/>
  <c r="E40" i="38"/>
  <c r="N23" i="38"/>
  <c r="H23" i="38"/>
  <c r="E23" i="38"/>
  <c r="N24" i="38"/>
  <c r="H24" i="38"/>
  <c r="E24" i="38"/>
  <c r="N26" i="38"/>
  <c r="H26" i="38"/>
  <c r="E26" i="38"/>
  <c r="N79" i="38"/>
  <c r="H79" i="38"/>
  <c r="E79" i="38"/>
  <c r="N46" i="38"/>
  <c r="H46" i="38"/>
  <c r="E46" i="38"/>
  <c r="N39" i="38"/>
  <c r="H39" i="38"/>
  <c r="E39" i="38"/>
  <c r="N68" i="38"/>
  <c r="H68" i="38"/>
  <c r="E68" i="38"/>
  <c r="N81" i="38"/>
  <c r="H81" i="38"/>
  <c r="E81" i="38"/>
  <c r="N41" i="38"/>
  <c r="H41" i="38"/>
  <c r="E41" i="38"/>
  <c r="N42" i="38"/>
  <c r="H42" i="38"/>
  <c r="E42" i="38"/>
  <c r="N47" i="38"/>
  <c r="H47" i="38"/>
  <c r="E47" i="38"/>
  <c r="N50" i="38"/>
  <c r="H50" i="38"/>
  <c r="E50" i="38"/>
  <c r="N77" i="38"/>
  <c r="H77" i="38"/>
  <c r="E77" i="38"/>
  <c r="N74" i="38"/>
  <c r="H74" i="38"/>
  <c r="E74" i="38"/>
  <c r="N45" i="38"/>
  <c r="H45" i="38"/>
  <c r="E45" i="38"/>
  <c r="N56" i="38"/>
  <c r="H56" i="38"/>
  <c r="E56" i="38"/>
  <c r="N28" i="38"/>
  <c r="H28" i="38"/>
  <c r="N71" i="38"/>
  <c r="H71" i="38"/>
  <c r="E71" i="38"/>
  <c r="N30" i="38"/>
  <c r="H30" i="38"/>
  <c r="E30" i="38"/>
  <c r="N48" i="38"/>
  <c r="H48" i="38"/>
  <c r="E48" i="38"/>
  <c r="N67" i="38"/>
  <c r="H67" i="38"/>
  <c r="E67" i="38"/>
  <c r="N55" i="38"/>
  <c r="H55" i="38"/>
  <c r="E55" i="38"/>
  <c r="N54" i="38"/>
  <c r="H54" i="38"/>
  <c r="E54" i="38"/>
  <c r="N52" i="38"/>
  <c r="H52" i="38"/>
  <c r="E52" i="38"/>
  <c r="N80" i="38"/>
  <c r="H80" i="38"/>
  <c r="E80" i="38"/>
  <c r="N76" i="38"/>
  <c r="H76" i="38"/>
  <c r="E76" i="38"/>
  <c r="N75" i="38"/>
  <c r="H75" i="38"/>
  <c r="E75" i="38"/>
  <c r="N73" i="38"/>
  <c r="H73" i="38"/>
  <c r="E73" i="38"/>
  <c r="N31" i="38"/>
  <c r="H31" i="38"/>
  <c r="E31" i="38"/>
  <c r="N22" i="38"/>
  <c r="H22" i="38"/>
  <c r="E22" i="38"/>
  <c r="N43" i="38"/>
  <c r="H43" i="38"/>
  <c r="E43" i="38"/>
  <c r="N62" i="38"/>
  <c r="H62" i="38"/>
  <c r="E62" i="38"/>
  <c r="N15" i="38"/>
  <c r="H15" i="38"/>
  <c r="E15" i="38"/>
  <c r="E6" i="29" s="1"/>
  <c r="N33" i="38"/>
  <c r="H33" i="38"/>
  <c r="E33" i="38"/>
  <c r="N65" i="38"/>
  <c r="H65" i="38"/>
  <c r="E65" i="38"/>
  <c r="N58" i="38"/>
  <c r="H58" i="38"/>
  <c r="E58" i="38"/>
  <c r="N34" i="38"/>
  <c r="H34" i="38"/>
  <c r="E34" i="38"/>
  <c r="N16" i="38"/>
  <c r="H16" i="38"/>
  <c r="E16" i="38"/>
  <c r="N57" i="38"/>
  <c r="H57" i="38"/>
  <c r="E57" i="38"/>
  <c r="N27" i="38"/>
  <c r="E27" i="38"/>
  <c r="N66" i="38"/>
  <c r="H66" i="38"/>
  <c r="E66" i="38"/>
  <c r="N70" i="38"/>
  <c r="H70" i="38"/>
  <c r="E70" i="38"/>
  <c r="N29" i="38"/>
  <c r="H29" i="38"/>
  <c r="E29" i="38"/>
  <c r="N17" i="38"/>
  <c r="H17" i="38"/>
  <c r="E17" i="38"/>
  <c r="N32" i="38"/>
  <c r="H32" i="38"/>
  <c r="E32" i="38"/>
  <c r="N64" i="38"/>
  <c r="H64" i="38"/>
  <c r="E64" i="38"/>
  <c r="N25" i="38"/>
  <c r="E25" i="38"/>
  <c r="N61" i="38"/>
  <c r="H61" i="38"/>
  <c r="E61" i="38"/>
  <c r="N51" i="38"/>
  <c r="H51" i="38"/>
  <c r="E51" i="38"/>
  <c r="N35" i="38"/>
  <c r="H35" i="38"/>
  <c r="E35" i="38"/>
  <c r="N59" i="38"/>
  <c r="H59" i="38"/>
  <c r="E59" i="38"/>
  <c r="N60" i="38"/>
  <c r="H60" i="38"/>
  <c r="E60" i="38"/>
  <c r="N53" i="38"/>
  <c r="H53" i="38"/>
  <c r="E53" i="38"/>
  <c r="N20" i="38"/>
  <c r="H20" i="38"/>
  <c r="E20" i="38"/>
  <c r="N14" i="38"/>
  <c r="H14" i="38"/>
  <c r="E14" i="38"/>
  <c r="N69" i="38"/>
  <c r="H69" i="38"/>
  <c r="E69" i="38"/>
  <c r="N36" i="38"/>
  <c r="H36" i="38"/>
  <c r="E36" i="38"/>
  <c r="E23" i="29" l="1"/>
  <c r="E24" i="29"/>
  <c r="H24" i="29" s="1"/>
  <c r="E25" i="29"/>
  <c r="E26" i="29"/>
  <c r="H26" i="29" s="1"/>
  <c r="E8" i="29"/>
  <c r="E10" i="29"/>
  <c r="H10" i="29" s="1"/>
  <c r="E9" i="29"/>
  <c r="H9" i="29" s="1"/>
  <c r="E11" i="29"/>
  <c r="H11" i="29" s="1"/>
  <c r="E14" i="29"/>
  <c r="E22" i="29"/>
  <c r="E15" i="29"/>
  <c r="E16" i="29"/>
  <c r="H16" i="29" s="1"/>
  <c r="E17" i="29"/>
  <c r="H17" i="29" s="1"/>
  <c r="E12" i="29"/>
  <c r="H12" i="29" s="1"/>
  <c r="E18" i="29"/>
  <c r="H18" i="29" s="1"/>
  <c r="E7" i="29"/>
  <c r="H7" i="29" s="1"/>
  <c r="E19" i="29"/>
  <c r="H19" i="29" s="1"/>
  <c r="E20" i="29"/>
  <c r="E13" i="29"/>
  <c r="E21" i="29"/>
  <c r="H21" i="29" s="1"/>
  <c r="J38" i="14"/>
  <c r="J39" i="14"/>
  <c r="J37" i="14"/>
  <c r="E28" i="1"/>
  <c r="H6" i="1"/>
  <c r="H8" i="4" s="1"/>
  <c r="G8" i="4"/>
  <c r="H19" i="1"/>
  <c r="H21" i="4" s="1"/>
  <c r="H21" i="1"/>
  <c r="H23" i="4" s="1"/>
  <c r="G7" i="1"/>
  <c r="E9" i="4"/>
  <c r="G8" i="1"/>
  <c r="E10" i="4"/>
  <c r="G9" i="1"/>
  <c r="E11" i="4"/>
  <c r="G22" i="1"/>
  <c r="E24" i="4"/>
  <c r="G23" i="1"/>
  <c r="E25" i="4"/>
  <c r="E27" i="4"/>
  <c r="G25" i="1"/>
  <c r="G26" i="1"/>
  <c r="E28" i="4"/>
  <c r="G24" i="1"/>
  <c r="E26" i="4"/>
  <c r="G10" i="1"/>
  <c r="E12" i="4"/>
  <c r="G50" i="4"/>
  <c r="G48" i="4"/>
  <c r="G52" i="4"/>
  <c r="G51" i="4"/>
  <c r="G49" i="4"/>
  <c r="G15" i="4"/>
  <c r="H13" i="1"/>
  <c r="G18" i="1"/>
  <c r="E20" i="4"/>
  <c r="G14" i="1"/>
  <c r="E16" i="4"/>
  <c r="G15" i="1"/>
  <c r="E17" i="4"/>
  <c r="G16" i="1"/>
  <c r="E18" i="4"/>
  <c r="G17" i="1"/>
  <c r="E19" i="4"/>
  <c r="H12" i="1"/>
  <c r="H14" i="4" s="1"/>
  <c r="H27" i="1"/>
  <c r="H29" i="4" s="1"/>
  <c r="H11" i="1"/>
  <c r="H13" i="4" s="1"/>
  <c r="H20" i="1"/>
  <c r="H22" i="4" s="1"/>
  <c r="H22" i="29"/>
  <c r="H14" i="29"/>
  <c r="H8" i="29"/>
  <c r="H15" i="29"/>
  <c r="H6" i="29"/>
  <c r="H20" i="29"/>
  <c r="H25" i="29"/>
  <c r="H23" i="29"/>
  <c r="H13" i="29"/>
  <c r="J8" i="38"/>
  <c r="P6" i="38"/>
  <c r="P9" i="38"/>
  <c r="P10" i="38"/>
  <c r="P12" i="38"/>
  <c r="P7" i="38"/>
  <c r="P11" i="38"/>
  <c r="M8" i="38"/>
  <c r="D8" i="38"/>
  <c r="O8" i="38"/>
  <c r="S8" i="38"/>
  <c r="F8" i="38"/>
  <c r="R8" i="38"/>
  <c r="K8" i="38"/>
  <c r="H10" i="38"/>
  <c r="G8" i="38"/>
  <c r="Q8" i="38"/>
  <c r="E12" i="38"/>
  <c r="I8" i="38"/>
  <c r="H9" i="38"/>
  <c r="L8" i="38"/>
  <c r="N12" i="38"/>
  <c r="H7" i="38"/>
  <c r="C8" i="38"/>
  <c r="E6" i="38"/>
  <c r="H11" i="38"/>
  <c r="N6" i="38"/>
  <c r="E7" i="38"/>
  <c r="H12" i="38"/>
  <c r="N7" i="38"/>
  <c r="H6" i="38"/>
  <c r="E9" i="38"/>
  <c r="N9" i="38"/>
  <c r="E10" i="38"/>
  <c r="N10" i="38"/>
  <c r="E11" i="38"/>
  <c r="N11" i="38"/>
  <c r="G28" i="1" l="1"/>
  <c r="G28" i="4"/>
  <c r="H26" i="1"/>
  <c r="H28" i="4" s="1"/>
  <c r="G11" i="4"/>
  <c r="H9" i="1"/>
  <c r="H11" i="4" s="1"/>
  <c r="G26" i="4"/>
  <c r="H24" i="1"/>
  <c r="H26" i="4" s="1"/>
  <c r="G27" i="4"/>
  <c r="H25" i="1"/>
  <c r="H27" i="4" s="1"/>
  <c r="G10" i="4"/>
  <c r="H8" i="1"/>
  <c r="H10" i="4" s="1"/>
  <c r="G24" i="4"/>
  <c r="H22" i="1"/>
  <c r="H24" i="4" s="1"/>
  <c r="G12" i="4"/>
  <c r="H10" i="1"/>
  <c r="H12" i="4" s="1"/>
  <c r="G25" i="4"/>
  <c r="H23" i="1"/>
  <c r="H25" i="4" s="1"/>
  <c r="G9" i="4"/>
  <c r="H7" i="1"/>
  <c r="H9" i="4" s="1"/>
  <c r="H15" i="4"/>
  <c r="G16" i="4"/>
  <c r="H14" i="1"/>
  <c r="G18" i="4"/>
  <c r="H16" i="1"/>
  <c r="G17" i="4"/>
  <c r="H15" i="1"/>
  <c r="G19" i="4"/>
  <c r="H17" i="1"/>
  <c r="G20" i="4"/>
  <c r="H18" i="1"/>
  <c r="P8" i="38"/>
  <c r="H8" i="38"/>
  <c r="E8" i="38"/>
  <c r="N8" i="38"/>
  <c r="H28" i="1" l="1"/>
  <c r="H17" i="4"/>
  <c r="H18" i="4"/>
  <c r="H16" i="4"/>
  <c r="H19" i="4"/>
  <c r="H20" i="4"/>
  <c r="F9" i="8"/>
  <c r="F10" i="8"/>
  <c r="F12" i="8"/>
  <c r="F13" i="8"/>
  <c r="F14" i="8"/>
  <c r="F15" i="8"/>
  <c r="F16" i="8"/>
  <c r="F17" i="8"/>
  <c r="F18" i="8"/>
  <c r="F8" i="8"/>
  <c r="H12" i="8"/>
  <c r="I12" i="8" l="1"/>
  <c r="C12" i="8" s="1"/>
  <c r="H38" i="14" l="1"/>
  <c r="H39" i="14"/>
  <c r="H8" i="14" l="1"/>
  <c r="H29" i="14"/>
  <c r="H25" i="14"/>
  <c r="H26" i="14"/>
  <c r="H27" i="14"/>
  <c r="H28" i="14"/>
  <c r="H17" i="14"/>
  <c r="H9" i="14"/>
  <c r="H18" i="14"/>
  <c r="H19" i="14"/>
  <c r="H20" i="14"/>
  <c r="H22" i="14"/>
  <c r="H10" i="14"/>
  <c r="H11" i="14"/>
  <c r="H21" i="14"/>
  <c r="H12" i="14"/>
  <c r="H13" i="14"/>
  <c r="H14" i="14"/>
  <c r="H15" i="14"/>
  <c r="H23" i="14"/>
  <c r="H16" i="14"/>
  <c r="H24" i="14"/>
  <c r="C21" i="30" l="1"/>
  <c r="B10" i="34"/>
  <c r="G21" i="30" l="1"/>
  <c r="F11" i="14" l="1"/>
  <c r="H8" i="8"/>
  <c r="I8" i="8" s="1"/>
  <c r="C8" i="8" s="1"/>
  <c r="C30" i="4" l="1"/>
  <c r="B12" i="15"/>
  <c r="B11" i="15"/>
  <c r="B31" i="15"/>
  <c r="C39" i="14" s="1"/>
  <c r="B38" i="14"/>
  <c r="B39" i="14"/>
  <c r="B37" i="14"/>
  <c r="B10" i="43" l="1"/>
  <c r="C37" i="14"/>
  <c r="D37" i="14" s="1"/>
  <c r="C38" i="14"/>
  <c r="D38" i="14" s="1"/>
  <c r="D39" i="14"/>
  <c r="K37" i="14" l="1"/>
  <c r="G37" i="14" s="1"/>
  <c r="K39" i="14"/>
  <c r="G39" i="14" s="1"/>
  <c r="K38" i="14"/>
  <c r="G38" i="14" s="1"/>
  <c r="C22" i="30" l="1"/>
  <c r="C23" i="30"/>
  <c r="C20" i="30"/>
  <c r="G23" i="30" l="1"/>
  <c r="G20" i="30"/>
  <c r="G22" i="30"/>
  <c r="H13" i="8"/>
  <c r="H14" i="8"/>
  <c r="H15" i="8"/>
  <c r="H16" i="8"/>
  <c r="H17" i="8"/>
  <c r="H18" i="8"/>
  <c r="H11" i="8"/>
  <c r="H10" i="8"/>
  <c r="H9" i="8"/>
  <c r="B7" i="15"/>
  <c r="B16" i="15"/>
  <c r="B5" i="11"/>
  <c r="G24" i="30" l="1"/>
  <c r="D21" i="30" s="1"/>
  <c r="I16" i="8"/>
  <c r="C16" i="8" s="1"/>
  <c r="I14" i="8"/>
  <c r="C14" i="8" s="1"/>
  <c r="I11" i="8"/>
  <c r="C11" i="8" s="1"/>
  <c r="I17" i="8"/>
  <c r="C17" i="8" s="1"/>
  <c r="I15" i="8"/>
  <c r="C15" i="8" s="1"/>
  <c r="I9" i="8"/>
  <c r="C9" i="8" s="1"/>
  <c r="I13" i="8"/>
  <c r="C13" i="8" s="1"/>
  <c r="I10" i="8"/>
  <c r="C10" i="8" s="1"/>
  <c r="I18" i="8"/>
  <c r="C18" i="8" s="1"/>
  <c r="B6" i="11"/>
  <c r="B7" i="11" s="1"/>
  <c r="B17" i="15"/>
  <c r="D23" i="30" l="1"/>
  <c r="D20" i="30"/>
  <c r="D22" i="30"/>
  <c r="D24" i="30" l="1"/>
  <c r="D28" i="1" l="1"/>
  <c r="D30" i="4" s="1"/>
  <c r="E30" i="4"/>
  <c r="G30" i="4"/>
  <c r="H30" i="4" l="1"/>
  <c r="B16" i="43" l="1"/>
  <c r="F8" i="37" l="1"/>
  <c r="D8" i="37" s="1"/>
  <c r="B13" i="43"/>
  <c r="F9" i="37"/>
  <c r="D9" i="37" s="1"/>
  <c r="F17" i="37"/>
  <c r="D17" i="37" s="1"/>
  <c r="F25" i="37"/>
  <c r="D25" i="37" s="1"/>
  <c r="F10" i="37"/>
  <c r="D10" i="37" s="1"/>
  <c r="F18" i="37"/>
  <c r="D18" i="37" s="1"/>
  <c r="F26" i="37"/>
  <c r="D26" i="37" s="1"/>
  <c r="F11" i="37"/>
  <c r="D11" i="37" s="1"/>
  <c r="F19" i="37"/>
  <c r="D19" i="37" s="1"/>
  <c r="F27" i="37"/>
  <c r="D27" i="37" s="1"/>
  <c r="F12" i="37"/>
  <c r="D12" i="37" s="1"/>
  <c r="F20" i="37"/>
  <c r="D20" i="37" s="1"/>
  <c r="F28" i="37"/>
  <c r="D28" i="37" s="1"/>
  <c r="F13" i="37"/>
  <c r="D13" i="37" s="1"/>
  <c r="F21" i="37"/>
  <c r="D21" i="37" s="1"/>
  <c r="F29" i="37"/>
  <c r="D29" i="37" s="1"/>
  <c r="F23" i="37"/>
  <c r="D23" i="37" s="1"/>
  <c r="F14" i="37"/>
  <c r="D14" i="37" s="1"/>
  <c r="F22" i="37"/>
  <c r="D22" i="37" s="1"/>
  <c r="F15" i="37"/>
  <c r="D15" i="37" s="1"/>
  <c r="F16" i="37"/>
  <c r="D16" i="37" s="1"/>
  <c r="F24" i="37"/>
  <c r="D24" i="37" s="1"/>
  <c r="F28" i="1"/>
  <c r="F30" i="4" s="1"/>
  <c r="I6" i="1" l="1"/>
  <c r="J8" i="14"/>
  <c r="K8" i="14" s="1"/>
  <c r="G8" i="14" s="1"/>
  <c r="I22" i="1"/>
  <c r="J24" i="14"/>
  <c r="K24" i="14" s="1"/>
  <c r="G24" i="14" s="1"/>
  <c r="I11" i="1"/>
  <c r="B42" i="4" s="1"/>
  <c r="J13" i="14"/>
  <c r="K13" i="14" s="1"/>
  <c r="G13" i="14" s="1"/>
  <c r="I16" i="1"/>
  <c r="B47" i="4" s="1"/>
  <c r="J18" i="14"/>
  <c r="K18" i="14" s="1"/>
  <c r="G18" i="14" s="1"/>
  <c r="I26" i="1"/>
  <c r="B57" i="4" s="1"/>
  <c r="J28" i="14"/>
  <c r="K28" i="14" s="1"/>
  <c r="G28" i="14" s="1"/>
  <c r="I8" i="1"/>
  <c r="J10" i="14"/>
  <c r="K10" i="14" s="1"/>
  <c r="G10" i="14" s="1"/>
  <c r="I18" i="1"/>
  <c r="K18" i="1" s="1"/>
  <c r="L18" i="1" s="1"/>
  <c r="E49" i="4" s="1"/>
  <c r="J20" i="14"/>
  <c r="K20" i="14" s="1"/>
  <c r="G20" i="14" s="1"/>
  <c r="I23" i="1"/>
  <c r="K23" i="1" s="1"/>
  <c r="L23" i="1" s="1"/>
  <c r="E54" i="4" s="1"/>
  <c r="J25" i="14"/>
  <c r="K25" i="14" s="1"/>
  <c r="G25" i="14" s="1"/>
  <c r="I10" i="1"/>
  <c r="B41" i="4" s="1"/>
  <c r="J12" i="14"/>
  <c r="K12" i="14" s="1"/>
  <c r="G12" i="14" s="1"/>
  <c r="I15" i="1"/>
  <c r="J17" i="14"/>
  <c r="K17" i="14" s="1"/>
  <c r="G17" i="14" s="1"/>
  <c r="I13" i="1"/>
  <c r="K13" i="1" s="1"/>
  <c r="J15" i="14"/>
  <c r="K15" i="14" s="1"/>
  <c r="G15" i="14" s="1"/>
  <c r="I25" i="1"/>
  <c r="K25" i="1" s="1"/>
  <c r="J27" i="14"/>
  <c r="K27" i="14" s="1"/>
  <c r="G27" i="14" s="1"/>
  <c r="I7" i="1"/>
  <c r="K7" i="1" s="1"/>
  <c r="O7" i="1" s="1"/>
  <c r="J9" i="14"/>
  <c r="K9" i="14" s="1"/>
  <c r="G9" i="14" s="1"/>
  <c r="I14" i="1"/>
  <c r="K14" i="1" s="1"/>
  <c r="J16" i="14"/>
  <c r="K16" i="14" s="1"/>
  <c r="G16" i="14" s="1"/>
  <c r="I21" i="1"/>
  <c r="K21" i="1" s="1"/>
  <c r="J23" i="14"/>
  <c r="K23" i="14" s="1"/>
  <c r="G23" i="14" s="1"/>
  <c r="I17" i="1"/>
  <c r="K17" i="1" s="1"/>
  <c r="O17" i="1" s="1"/>
  <c r="J19" i="14"/>
  <c r="K19" i="14" s="1"/>
  <c r="G19" i="14" s="1"/>
  <c r="I12" i="1"/>
  <c r="K12" i="1" s="1"/>
  <c r="J14" i="14"/>
  <c r="K14" i="14" s="1"/>
  <c r="G14" i="14" s="1"/>
  <c r="I27" i="1"/>
  <c r="B58" i="4" s="1"/>
  <c r="J29" i="14"/>
  <c r="K29" i="14" s="1"/>
  <c r="G29" i="14" s="1"/>
  <c r="I9" i="1"/>
  <c r="B40" i="4" s="1"/>
  <c r="J11" i="14"/>
  <c r="K11" i="14" s="1"/>
  <c r="G11" i="14" s="1"/>
  <c r="I20" i="1"/>
  <c r="K20" i="1" s="1"/>
  <c r="J22" i="14"/>
  <c r="K22" i="14" s="1"/>
  <c r="G22" i="14" s="1"/>
  <c r="I19" i="1"/>
  <c r="B50" i="4" s="1"/>
  <c r="J21" i="14"/>
  <c r="K21" i="14" s="1"/>
  <c r="G21" i="14" s="1"/>
  <c r="I24" i="1"/>
  <c r="K24" i="1" s="1"/>
  <c r="O24" i="1" s="1"/>
  <c r="J26" i="14"/>
  <c r="K26" i="14" s="1"/>
  <c r="G26" i="14" s="1"/>
  <c r="K19" i="1"/>
  <c r="K22" i="1"/>
  <c r="B53" i="4"/>
  <c r="K8" i="1"/>
  <c r="O8" i="1" s="1"/>
  <c r="B39" i="4"/>
  <c r="K15" i="1"/>
  <c r="B46" i="4"/>
  <c r="K26" i="1"/>
  <c r="K10" i="1"/>
  <c r="L10" i="1" s="1"/>
  <c r="E41" i="4" s="1"/>
  <c r="K27" i="1"/>
  <c r="K9" i="1" l="1"/>
  <c r="D40" i="4" s="1"/>
  <c r="K6" i="1"/>
  <c r="O6" i="1" s="1"/>
  <c r="B37" i="4"/>
  <c r="K16" i="1"/>
  <c r="O16" i="1" s="1"/>
  <c r="H47" i="4" s="1"/>
  <c r="B38" i="4"/>
  <c r="K11" i="1"/>
  <c r="L11" i="1" s="1"/>
  <c r="E42" i="4" s="1"/>
  <c r="B52" i="4"/>
  <c r="B43" i="4"/>
  <c r="B49" i="4"/>
  <c r="B44" i="4"/>
  <c r="B55" i="4"/>
  <c r="B45" i="4"/>
  <c r="B48" i="4"/>
  <c r="B54" i="4"/>
  <c r="B56" i="4"/>
  <c r="B51" i="4"/>
  <c r="O23" i="1"/>
  <c r="Q23" i="1" s="1"/>
  <c r="R23" i="1" s="1"/>
  <c r="J54" i="4" s="1"/>
  <c r="L7" i="1"/>
  <c r="E38" i="4" s="1"/>
  <c r="O18" i="1"/>
  <c r="H49" i="4" s="1"/>
  <c r="L8" i="1"/>
  <c r="E39" i="4" s="1"/>
  <c r="O10" i="1"/>
  <c r="P10" i="1" s="1"/>
  <c r="H48" i="4"/>
  <c r="H55" i="4"/>
  <c r="D50" i="4"/>
  <c r="H38" i="4"/>
  <c r="D51" i="4"/>
  <c r="D41" i="4"/>
  <c r="D49" i="4"/>
  <c r="D39" i="4"/>
  <c r="D46" i="4"/>
  <c r="H37" i="4"/>
  <c r="D56" i="4"/>
  <c r="H39" i="4"/>
  <c r="D45" i="4"/>
  <c r="D44" i="4"/>
  <c r="D57" i="4"/>
  <c r="D53" i="4"/>
  <c r="D43" i="4"/>
  <c r="D52" i="4"/>
  <c r="D58" i="4"/>
  <c r="D48" i="4"/>
  <c r="D38" i="4"/>
  <c r="D55" i="4"/>
  <c r="D54" i="4"/>
  <c r="L20" i="1"/>
  <c r="E51" i="4" s="1"/>
  <c r="O20" i="1"/>
  <c r="P20" i="1" s="1"/>
  <c r="O15" i="1"/>
  <c r="P15" i="1" s="1"/>
  <c r="L15" i="1"/>
  <c r="E46" i="4" s="1"/>
  <c r="O25" i="1"/>
  <c r="P25" i="1" s="1"/>
  <c r="L12" i="1"/>
  <c r="E43" i="4" s="1"/>
  <c r="O21" i="1"/>
  <c r="O12" i="1"/>
  <c r="L19" i="1"/>
  <c r="E50" i="4" s="1"/>
  <c r="L25" i="1"/>
  <c r="E56" i="4" s="1"/>
  <c r="O19" i="1"/>
  <c r="Q19" i="1" s="1"/>
  <c r="R19" i="1" s="1"/>
  <c r="J50" i="4" s="1"/>
  <c r="L13" i="1"/>
  <c r="E44" i="4" s="1"/>
  <c r="L17" i="1"/>
  <c r="E48" i="4" s="1"/>
  <c r="O13" i="1"/>
  <c r="O26" i="1"/>
  <c r="O27" i="1"/>
  <c r="L22" i="1"/>
  <c r="E53" i="4" s="1"/>
  <c r="L26" i="1"/>
  <c r="E57" i="4" s="1"/>
  <c r="L27" i="1"/>
  <c r="E58" i="4" s="1"/>
  <c r="O22" i="1"/>
  <c r="P22" i="1" s="1"/>
  <c r="L21" i="1"/>
  <c r="E52" i="4" s="1"/>
  <c r="L9" i="1"/>
  <c r="E40" i="4" s="1"/>
  <c r="L14" i="1"/>
  <c r="E45" i="4" s="1"/>
  <c r="L24" i="1"/>
  <c r="E55" i="4" s="1"/>
  <c r="O14" i="1"/>
  <c r="P24" i="1"/>
  <c r="Q24" i="1"/>
  <c r="R24" i="1" s="1"/>
  <c r="J55" i="4" s="1"/>
  <c r="Q17" i="1"/>
  <c r="R17" i="1" s="1"/>
  <c r="J48" i="4" s="1"/>
  <c r="P17" i="1"/>
  <c r="Q7" i="1"/>
  <c r="R7" i="1" s="1"/>
  <c r="J38" i="4" s="1"/>
  <c r="P7" i="1"/>
  <c r="Q8" i="1"/>
  <c r="R8" i="1" s="1"/>
  <c r="J39" i="4" s="1"/>
  <c r="P8" i="1"/>
  <c r="P6" i="1"/>
  <c r="Q6" i="1"/>
  <c r="R6" i="1" s="1"/>
  <c r="J37" i="4" s="1"/>
  <c r="L6" i="1" l="1"/>
  <c r="E37" i="4" s="1"/>
  <c r="O9" i="1"/>
  <c r="Q9" i="1" s="1"/>
  <c r="R9" i="1" s="1"/>
  <c r="J40" i="4" s="1"/>
  <c r="D37" i="4"/>
  <c r="K28" i="1"/>
  <c r="D59" i="4" s="1"/>
  <c r="Q16" i="1"/>
  <c r="R16" i="1" s="1"/>
  <c r="J47" i="4" s="1"/>
  <c r="P16" i="1"/>
  <c r="D47" i="4"/>
  <c r="L16" i="1"/>
  <c r="E47" i="4" s="1"/>
  <c r="D42" i="4"/>
  <c r="O11" i="1"/>
  <c r="H42" i="4" s="1"/>
  <c r="H54" i="4"/>
  <c r="P23" i="1"/>
  <c r="I54" i="4" s="1"/>
  <c r="P18" i="1"/>
  <c r="I49" i="4" s="1"/>
  <c r="Q18" i="1"/>
  <c r="H41" i="4"/>
  <c r="L28" i="1"/>
  <c r="E59" i="4" s="1"/>
  <c r="B5" i="43" s="1"/>
  <c r="S9" i="1"/>
  <c r="S24" i="1"/>
  <c r="S23" i="1"/>
  <c r="S19" i="1"/>
  <c r="S17" i="1"/>
  <c r="S6" i="1"/>
  <c r="S8" i="1"/>
  <c r="S7" i="1"/>
  <c r="Q10" i="1"/>
  <c r="R10" i="1" s="1"/>
  <c r="J41" i="4" s="1"/>
  <c r="Q20" i="1"/>
  <c r="R20" i="1" s="1"/>
  <c r="J51" i="4" s="1"/>
  <c r="P19" i="1"/>
  <c r="I50" i="4" s="1"/>
  <c r="Q15" i="1"/>
  <c r="R15" i="1" s="1"/>
  <c r="J46" i="4" s="1"/>
  <c r="Q25" i="1"/>
  <c r="R25" i="1" s="1"/>
  <c r="J56" i="4" s="1"/>
  <c r="Q22" i="1"/>
  <c r="R22" i="1" s="1"/>
  <c r="J53" i="4" s="1"/>
  <c r="I51" i="4"/>
  <c r="I48" i="4"/>
  <c r="H45" i="4"/>
  <c r="H51" i="4"/>
  <c r="I37" i="4"/>
  <c r="I56" i="4"/>
  <c r="I46" i="4"/>
  <c r="H58" i="4"/>
  <c r="H43" i="4"/>
  <c r="I41" i="4"/>
  <c r="I53" i="4"/>
  <c r="H57" i="4"/>
  <c r="H52" i="4"/>
  <c r="H44" i="4"/>
  <c r="H40" i="4"/>
  <c r="H56" i="4"/>
  <c r="I39" i="4"/>
  <c r="I38" i="4"/>
  <c r="I47" i="4"/>
  <c r="H53" i="4"/>
  <c r="I55" i="4"/>
  <c r="H50" i="4"/>
  <c r="H46" i="4"/>
  <c r="Q12" i="1"/>
  <c r="R12" i="1" s="1"/>
  <c r="J43" i="4" s="1"/>
  <c r="P12" i="1"/>
  <c r="Q21" i="1"/>
  <c r="R21" i="1" s="1"/>
  <c r="J52" i="4" s="1"/>
  <c r="Q26" i="1"/>
  <c r="R26" i="1" s="1"/>
  <c r="J57" i="4" s="1"/>
  <c r="P21" i="1"/>
  <c r="P26" i="1"/>
  <c r="Q13" i="1"/>
  <c r="R13" i="1" s="1"/>
  <c r="J44" i="4" s="1"/>
  <c r="P13" i="1"/>
  <c r="P14" i="1"/>
  <c r="Q27" i="1"/>
  <c r="R27" i="1" s="1"/>
  <c r="J58" i="4" s="1"/>
  <c r="P27" i="1"/>
  <c r="Q14" i="1"/>
  <c r="R14" i="1" s="1"/>
  <c r="J45" i="4" s="1"/>
  <c r="J28" i="1"/>
  <c r="C59" i="4" s="1"/>
  <c r="S16" i="1" l="1"/>
  <c r="P9" i="1"/>
  <c r="I40" i="4" s="1"/>
  <c r="O28" i="1"/>
  <c r="M28" i="1" s="1"/>
  <c r="P11" i="1"/>
  <c r="I42" i="4" s="1"/>
  <c r="Q11" i="1"/>
  <c r="R11" i="1" s="1"/>
  <c r="J42" i="4" s="1"/>
  <c r="S18" i="1"/>
  <c r="R18" i="1"/>
  <c r="J49" i="4" s="1"/>
  <c r="Q28" i="1"/>
  <c r="S21" i="1"/>
  <c r="S12" i="1"/>
  <c r="S27" i="1"/>
  <c r="S13" i="1"/>
  <c r="S14" i="1"/>
  <c r="S26" i="1"/>
  <c r="S10" i="1"/>
  <c r="S20" i="1"/>
  <c r="S22" i="1"/>
  <c r="S25" i="1"/>
  <c r="S15" i="1"/>
  <c r="I57" i="4"/>
  <c r="I52" i="4"/>
  <c r="I43" i="4"/>
  <c r="I44" i="4"/>
  <c r="I58" i="4"/>
  <c r="I45" i="4"/>
  <c r="S11" i="1" l="1"/>
  <c r="P28" i="1"/>
  <c r="I59" i="4" s="1"/>
  <c r="B6" i="43" s="1"/>
  <c r="H59" i="4"/>
  <c r="U6" i="1"/>
  <c r="R28" i="1"/>
  <c r="J59" i="4" s="1"/>
  <c r="U12" i="1"/>
  <c r="U19" i="1"/>
  <c r="U11" i="1"/>
  <c r="U16" i="1"/>
  <c r="U20" i="1"/>
  <c r="U25" i="1"/>
  <c r="U23" i="1"/>
  <c r="U10" i="1"/>
  <c r="U13" i="1"/>
  <c r="U22" i="1"/>
  <c r="U7" i="1"/>
  <c r="U17" i="1"/>
  <c r="U21" i="1"/>
  <c r="U26" i="1"/>
  <c r="U27" i="1"/>
  <c r="U24" i="1"/>
  <c r="U8" i="1"/>
  <c r="U18" i="1"/>
  <c r="U14" i="1"/>
  <c r="U15" i="1"/>
  <c r="U9" i="1"/>
  <c r="B10" i="11"/>
  <c r="B11" i="11"/>
  <c r="S28" i="1"/>
  <c r="N28" i="1"/>
  <c r="G59" i="4" s="1"/>
  <c r="F59" i="4"/>
  <c r="B15" i="11"/>
  <c r="B14" i="11"/>
  <c r="B26" i="11" l="1"/>
  <c r="B63" i="4"/>
  <c r="B16" i="11"/>
  <c r="B65" i="4" s="1"/>
  <c r="B82" i="4" s="1"/>
  <c r="B64" i="4"/>
  <c r="U28" i="1"/>
  <c r="D26" i="11"/>
  <c r="D75" i="4" s="1"/>
  <c r="C26" i="11"/>
  <c r="C75" i="4" s="1"/>
  <c r="D14" i="11"/>
  <c r="D63" i="4" s="1"/>
  <c r="D15" i="11"/>
  <c r="D64" i="4" s="1"/>
  <c r="C15" i="11"/>
  <c r="C64" i="4" s="1"/>
  <c r="C14" i="11"/>
  <c r="C63" i="4" s="1"/>
  <c r="B22" i="11"/>
  <c r="B18" i="11"/>
  <c r="B28" i="11"/>
  <c r="B19" i="11"/>
  <c r="B23" i="11"/>
  <c r="C16" i="11" l="1"/>
  <c r="C65" i="4" s="1"/>
  <c r="D16" i="11"/>
  <c r="D65" i="4" s="1"/>
  <c r="C19" i="11"/>
  <c r="C68" i="4" s="1"/>
  <c r="B68" i="4"/>
  <c r="C23" i="11"/>
  <c r="C72" i="4" s="1"/>
  <c r="B72" i="4"/>
  <c r="D28" i="11"/>
  <c r="D77" i="4" s="1"/>
  <c r="B77" i="4"/>
  <c r="C18" i="11"/>
  <c r="C67" i="4" s="1"/>
  <c r="B67" i="4"/>
  <c r="D22" i="11"/>
  <c r="D71" i="4" s="1"/>
  <c r="B71" i="4"/>
  <c r="B27" i="11"/>
  <c r="B75" i="4"/>
  <c r="D19" i="11"/>
  <c r="D68" i="4" s="1"/>
  <c r="D18" i="11"/>
  <c r="D67" i="4" s="1"/>
  <c r="D23" i="11"/>
  <c r="D72" i="4" s="1"/>
  <c r="C22" i="11"/>
  <c r="C71" i="4" s="1"/>
  <c r="C28" i="11"/>
  <c r="C77" i="4" s="1"/>
  <c r="B24" i="11"/>
  <c r="B73" i="4" s="1"/>
  <c r="B84" i="4" s="1"/>
  <c r="B20" i="11"/>
  <c r="B69" i="4" s="1"/>
  <c r="B7" i="43" l="1"/>
  <c r="B83" i="4"/>
  <c r="B76" i="4"/>
  <c r="D27" i="11"/>
  <c r="D76" i="4" s="1"/>
  <c r="C27" i="11"/>
  <c r="C76" i="4" s="1"/>
  <c r="D20" i="11"/>
  <c r="D69" i="4" s="1"/>
  <c r="C20" i="11"/>
  <c r="C69" i="4" s="1"/>
  <c r="D24" i="11"/>
  <c r="D73" i="4" s="1"/>
  <c r="C24" i="11"/>
  <c r="C73" i="4" s="1"/>
</calcChain>
</file>

<file path=xl/sharedStrings.xml><?xml version="1.0" encoding="utf-8"?>
<sst xmlns="http://schemas.openxmlformats.org/spreadsheetml/2006/main" count="1075" uniqueCount="607">
  <si>
    <t>Legende</t>
  </si>
  <si>
    <t>Farbcode</t>
  </si>
  <si>
    <t>Abkürzungsverzeichnis</t>
  </si>
  <si>
    <t>Eingabe</t>
  </si>
  <si>
    <t>FS</t>
  </si>
  <si>
    <t>Frischsubstanz</t>
  </si>
  <si>
    <t>Berechnung</t>
  </si>
  <si>
    <t xml:space="preserve">TS </t>
  </si>
  <si>
    <t>Trockensubstanz</t>
  </si>
  <si>
    <t>Ausgabe</t>
  </si>
  <si>
    <t>oTS</t>
  </si>
  <si>
    <t>organische Trockensubstanz</t>
  </si>
  <si>
    <t>Verknüpfung</t>
  </si>
  <si>
    <t>V̇</t>
  </si>
  <si>
    <t>Volumenstrom</t>
  </si>
  <si>
    <t>Link</t>
  </si>
  <si>
    <t>kWh</t>
  </si>
  <si>
    <t>Kilowattstunde</t>
  </si>
  <si>
    <t>Erklärung</t>
  </si>
  <si>
    <t>MWh</t>
  </si>
  <si>
    <t>Megawattstunde</t>
  </si>
  <si>
    <t>Hinweis</t>
  </si>
  <si>
    <t>SD</t>
  </si>
  <si>
    <t>Standardabweichung</t>
  </si>
  <si>
    <t>Quelle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</si>
  <si>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>Biogas</t>
    </r>
  </si>
  <si>
    <t>Biogasproduktion</t>
  </si>
  <si>
    <t>Ergebnis</t>
  </si>
  <si>
    <r>
      <t>Y</t>
    </r>
    <r>
      <rPr>
        <b/>
        <vertAlign val="subscript"/>
        <sz val="11"/>
        <color theme="1"/>
        <rFont val="Calibri"/>
        <family val="2"/>
        <scheme val="minor"/>
      </rPr>
      <t>CH4</t>
    </r>
  </si>
  <si>
    <t>Methanproduktion</t>
  </si>
  <si>
    <t>gut</t>
  </si>
  <si>
    <t>BMP</t>
  </si>
  <si>
    <t>Biomethanproduktion</t>
  </si>
  <si>
    <t>kritisch</t>
  </si>
  <si>
    <t>HS</t>
  </si>
  <si>
    <t>Hauptsubstrat</t>
  </si>
  <si>
    <t>ungünstig</t>
  </si>
  <si>
    <t>Co-S</t>
  </si>
  <si>
    <t>Co-Substrat</t>
  </si>
  <si>
    <t>Tabellenblatt</t>
  </si>
  <si>
    <t>Zellen</t>
  </si>
  <si>
    <t>Farbcode, Abkürzungen, Glossar</t>
  </si>
  <si>
    <t>Eingabe Anlagendaten</t>
  </si>
  <si>
    <t>Anlagendaten</t>
  </si>
  <si>
    <t>Spalte B</t>
  </si>
  <si>
    <t>Eingabe Ausgangssubstrate</t>
  </si>
  <si>
    <t>Ausgangssubstrate</t>
  </si>
  <si>
    <t>A6-A27; B6-B27</t>
  </si>
  <si>
    <t xml:space="preserve">Eingabe Art und Menge der Ausgangssubstrate </t>
  </si>
  <si>
    <t>Schlammmenge</t>
  </si>
  <si>
    <t>A5; B6; B9</t>
  </si>
  <si>
    <t>Falls Schlammmenge nicht bekannt: Berechnen über Einwohnergleichwert</t>
  </si>
  <si>
    <t>Eingabe TS-Konzentration der Ausgangssubstrate</t>
  </si>
  <si>
    <t>D6-D29</t>
  </si>
  <si>
    <t>Falls Messwerte vorliegen: Manuell eintragen</t>
  </si>
  <si>
    <t>https://phyllis.nl/</t>
  </si>
  <si>
    <t>Falls keine Mess- oder Datenbankwerte vorliegen: Literaturrecherche</t>
  </si>
  <si>
    <t>Eingabe oTS-Konzentration der Ausgangssubstrate</t>
  </si>
  <si>
    <t>E6-E29</t>
  </si>
  <si>
    <t>oTS aus BSB oder TOC</t>
  </si>
  <si>
    <t>B8-B28; E8-E29</t>
  </si>
  <si>
    <t>Berechnung oTS aus TOC oder CSB</t>
  </si>
  <si>
    <t>Falls keine Messwerte vorliegen: Datenbankrecherche</t>
  </si>
  <si>
    <t>Eingabe spezifischer Methanertrag und Methananteil</t>
  </si>
  <si>
    <t>F6-F27</t>
  </si>
  <si>
    <t>http://methane.fe.uni-lj.si/</t>
  </si>
  <si>
    <t>Falls keine Messwerte vorliegen: Literaturrecherche spezifischer Methanertrag</t>
  </si>
  <si>
    <t>Spezifischer Methanertrag</t>
  </si>
  <si>
    <t>B8-E29</t>
  </si>
  <si>
    <t>Falls keine Mess- und Literaturwerte vorliegen: Berechnung aufgrund der makromolekularen Zusammensetzung</t>
  </si>
  <si>
    <t>Methananteil</t>
  </si>
  <si>
    <t>C10-C14</t>
  </si>
  <si>
    <t>Falls nur spezifische Biogasproduktionswerte vorliegen: Stöchiometrische Berechnung Methananteil nach Buswell</t>
  </si>
  <si>
    <t>Abbaugrad</t>
  </si>
  <si>
    <t>B8-C29</t>
  </si>
  <si>
    <t>Falls Abbaugrad nicht bekannt: Berechnung mit Hilfe der Abschätzung des k-Werts</t>
  </si>
  <si>
    <t xml:space="preserve">Plausibilitätskontrolle und Beurteilung der Kennwerte      </t>
  </si>
  <si>
    <t>Grundlagen</t>
  </si>
  <si>
    <t>Plausibilitätskontrolle Grundlagen-Daten</t>
  </si>
  <si>
    <t>Kennwerte Massenflüsse</t>
  </si>
  <si>
    <t>Plausibilitätskontrolle Kennwerte Massenflüsse</t>
  </si>
  <si>
    <t>Beurteilung Kennwerte</t>
  </si>
  <si>
    <t>Kennwerte und Beurteilung der Energieproduktion, Verweilzeiten und Raumbelastung</t>
  </si>
  <si>
    <t>Einheit / Optionen</t>
  </si>
  <si>
    <t>Beschreibung</t>
  </si>
  <si>
    <t>Reaktorsystem</t>
  </si>
  <si>
    <t>Faulturm 1 und 2</t>
  </si>
  <si>
    <t>seriell</t>
  </si>
  <si>
    <t>parallel</t>
  </si>
  <si>
    <t>Werden die Faultürme seriell oder parallel betrieben?</t>
  </si>
  <si>
    <t>Faulturm 2 und 3</t>
  </si>
  <si>
    <t>Rückimpfung in Stufe 1</t>
  </si>
  <si>
    <t>nein</t>
  </si>
  <si>
    <t>ja</t>
  </si>
  <si>
    <t>Wird Faulschlamm aus einer späteren Stufe in die 1. Stufe rückgeimpft?</t>
  </si>
  <si>
    <t>Biomasserückhalt in Stufe 1</t>
  </si>
  <si>
    <t>Wird Biomasse in der 1. Stufe zurückgehalten?</t>
  </si>
  <si>
    <t>Achtung: Falls die Biomasse in der 1. Stufe zurückgehalten wird oder Faulschlamm aus einer späteren Stufe rückgeimpft wird, ist die SRT unkritisch.</t>
  </si>
  <si>
    <t>Nutzvolumen Faulraum 1</t>
  </si>
  <si>
    <r>
      <t>[Bm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</si>
  <si>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Nutzvolumen in Betriebskubikmeter aktiver Gärraum</t>
  </si>
  <si>
    <t>Nutzvolumen Faulraum 2</t>
  </si>
  <si>
    <t>Nutzvolumen Faulraum 3</t>
  </si>
  <si>
    <t>Achtung: Falls die Faulung aus mehr als 3 Faultürmen besteht, müssen die Volumen pro Stufe manuell eingegeben werden!</t>
  </si>
  <si>
    <t>Faulraumkonditionen</t>
  </si>
  <si>
    <t>Überdruck im Gasraum</t>
  </si>
  <si>
    <t>[mbar]</t>
  </si>
  <si>
    <t xml:space="preserve">Durchschnittlicher Überdruck im Kopfraum des Faulraums. </t>
  </si>
  <si>
    <t>pH-Wert im Faulraum 1</t>
  </si>
  <si>
    <t>[-]</t>
  </si>
  <si>
    <t>Durchschnittlicher pH-Wert des Faulschlamms.</t>
  </si>
  <si>
    <t>Temperatur Faulraum 1</t>
  </si>
  <si>
    <t>[°C]</t>
  </si>
  <si>
    <t xml:space="preserve">Temperatur des Faulschlamms im Faulraum. </t>
  </si>
  <si>
    <t>Temperatur Faulraum 2</t>
  </si>
  <si>
    <t>Temperatur Faulraum 3</t>
  </si>
  <si>
    <t>Temperatur Faulraum 4</t>
  </si>
  <si>
    <t>Achtung: Falls die Faulräume unterschiedliche Temperaturen aufweisen, ist die Berechnung des Abbaugrades mit Vorsicht zu geniessen.</t>
  </si>
  <si>
    <t>Substratzugabe</t>
  </si>
  <si>
    <t>Geht alles Substrat direkt in Stufe 1?</t>
  </si>
  <si>
    <t>Wird das Ausgangssubstrat in diese Stufe zugegeben?</t>
  </si>
  <si>
    <t>Achtung: Falls nein muss für die Berechnung der Raumbelastung der Stufe 1 nur die entsprechenden Substratmengen eingegeben werden!</t>
  </si>
  <si>
    <t>Energieproduktion</t>
  </si>
  <si>
    <t xml:space="preserve">Biogasproduktion </t>
  </si>
  <si>
    <r>
      <t>[Nm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</si>
  <si>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Wieviel Biogas in Normkubikmetern wird jährlich produziert?</t>
  </si>
  <si>
    <t>Wieviel Methan in Normkubikmetern wird jährlich produziert?</t>
  </si>
  <si>
    <t>Eigenstrombedarf</t>
  </si>
  <si>
    <t>[%]</t>
  </si>
  <si>
    <t>Wie gross ist der Anteil des Eigenstrombedarfs von der Bruttostromproduktion?</t>
  </si>
  <si>
    <t>Nettostromproduktion</t>
  </si>
  <si>
    <r>
      <t>[MWh 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</si>
  <si>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Wie hoch ist die jährlich ins Stromnetz eingespeiste Strommenge in Megawattstunden?</t>
  </si>
  <si>
    <t>Nettowärmeproduktion</t>
  </si>
  <si>
    <t>Einspeisevergütung Methan</t>
  </si>
  <si>
    <r>
      <t>[CHF kWh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</si>
  <si>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Zu welchem Preis in Schweizer Franken kann das produzierte Biomethan ins Netz eingespiesen werden?</t>
  </si>
  <si>
    <t>Einspeisevergütung Strom</t>
  </si>
  <si>
    <t>Zu welchem Preis in Schweizer Franken kann der produzierte Ökostrom ins Netz eingespiesen werden?</t>
  </si>
  <si>
    <t>Einspeisevergütung Wärme</t>
  </si>
  <si>
    <t>Zu welchem Preis in Schweizer Franken kann die produzierte Ökowärme ins Netz eingespiesen werden?</t>
  </si>
  <si>
    <t>HS oder Co-S</t>
  </si>
  <si>
    <t>Substratmenge FS</t>
  </si>
  <si>
    <t>TS pro FS</t>
  </si>
  <si>
    <t>oTS pro TS</t>
  </si>
  <si>
    <r>
      <t>Y</t>
    </r>
    <r>
      <rPr>
        <b/>
        <vertAlign val="subscript"/>
        <sz val="11"/>
        <color theme="0"/>
        <rFont val="Calibri Light"/>
        <family val="2"/>
        <scheme val="major"/>
      </rPr>
      <t>CH4</t>
    </r>
  </si>
  <si>
    <t>oTS pro FS</t>
  </si>
  <si>
    <r>
      <t>Y</t>
    </r>
    <r>
      <rPr>
        <b/>
        <vertAlign val="subscript"/>
        <sz val="12"/>
        <color theme="0"/>
        <rFont val="Calibri Light"/>
        <family val="2"/>
        <scheme val="major"/>
      </rPr>
      <t>Biogas</t>
    </r>
  </si>
  <si>
    <t>Bezeichnung</t>
  </si>
  <si>
    <t>Auswahl</t>
  </si>
  <si>
    <r>
      <t>[m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FS a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</si>
  <si>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[g TS g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 xml:space="preserve"> FS]</t>
    </r>
  </si>
  <si>
    <r>
      <t>[g oTS g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 xml:space="preserve"> TS]</t>
    </r>
  </si>
  <si>
    <r>
      <t>[L kg</t>
    </r>
    <r>
      <rPr>
        <vertAlign val="superscript"/>
        <sz val="11"/>
        <color theme="0"/>
        <rFont val="Calibri Light"/>
        <family val="2"/>
        <scheme val="major"/>
      </rPr>
      <t>-1</t>
    </r>
    <r>
      <rPr>
        <sz val="11"/>
        <color theme="0"/>
        <rFont val="Calibri Light"/>
        <family val="2"/>
        <scheme val="major"/>
      </rPr>
      <t xml:space="preserve"> oTS]</t>
    </r>
  </si>
  <si>
    <r>
      <t>[g oTS g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 xml:space="preserve"> FS]</t>
    </r>
  </si>
  <si>
    <t>Belebtschlamm, eingedickt</t>
  </si>
  <si>
    <t>Kennwerte Massen- und Energieflüsse</t>
  </si>
  <si>
    <t>Finanzieller Erlös</t>
  </si>
  <si>
    <t>Energieträger</t>
  </si>
  <si>
    <r>
      <t>[CHF a</t>
    </r>
    <r>
      <rPr>
        <b/>
        <vertAlign val="superscript"/>
        <sz val="12"/>
        <color theme="0"/>
        <rFont val="Calibri Light"/>
        <family val="2"/>
        <scheme val="major"/>
      </rPr>
      <t>-1</t>
    </r>
    <r>
      <rPr>
        <b/>
        <sz val="12"/>
        <color theme="0"/>
        <rFont val="Calibri Light"/>
        <family val="2"/>
        <scheme val="major"/>
      </rPr>
      <t>]</t>
    </r>
  </si>
  <si>
    <t>Kennwerte der Energieproduktion, Verweilzeiten und Raumbelastung</t>
  </si>
  <si>
    <t>Wert berechnet</t>
  </si>
  <si>
    <t>Wert gemessen</t>
  </si>
  <si>
    <t>Biogasertrag</t>
  </si>
  <si>
    <t>Stimmt der berechnete Wert ungefähr mit dem gemessenen überein?</t>
  </si>
  <si>
    <t>Methanertrag</t>
  </si>
  <si>
    <t>Schlammverweilzeit (SRT)</t>
  </si>
  <si>
    <t>Schlamverweilzeit(SRT) Stufe 1</t>
  </si>
  <si>
    <t>[d]</t>
  </si>
  <si>
    <t>Hydraulische Verweilzeit (HRT)</t>
  </si>
  <si>
    <t>Hydraulische Verweilzeit (HRT)  Gesamtsystem</t>
  </si>
  <si>
    <r>
      <t>Organische Raumbelastung (B</t>
    </r>
    <r>
      <rPr>
        <b/>
        <vertAlign val="subscript"/>
        <sz val="13"/>
        <color theme="3"/>
        <rFont val="Calibri"/>
        <family val="2"/>
        <scheme val="minor"/>
      </rPr>
      <t>R</t>
    </r>
    <r>
      <rPr>
        <b/>
        <sz val="13"/>
        <color theme="3"/>
        <rFont val="Calibri"/>
        <family val="2"/>
        <scheme val="minor"/>
      </rPr>
      <t>)</t>
    </r>
  </si>
  <si>
    <r>
      <t>Organische Raumbelastung (B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 Stufe 1</t>
    </r>
  </si>
  <si>
    <r>
      <t>[kg oTS d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>]</t>
    </r>
  </si>
  <si>
    <t>Beurteilung</t>
  </si>
  <si>
    <t>Biogas- und Energieproduktion</t>
  </si>
  <si>
    <t>Die berechnete Energieproduktion stimmt ungefähr mit der tatsächlich gemessenen überein.</t>
  </si>
  <si>
    <t>Der Abbauprozess läuft stabil.</t>
  </si>
  <si>
    <t>Die berechnete Biogas- und Energieproduktion ist signifikant tiefer, als die tatsächlich gemessene.</t>
  </si>
  <si>
    <t>Das ist unrealistisch: Überprüfe Fehler bei der Eingabe!</t>
  </si>
  <si>
    <t>Die berechnete Biogas- und Energieproduktion ist signifikant höher, als die tatsächlich gemessene.</t>
  </si>
  <si>
    <t>Hemmeffekte des Abbaus sind wahrscheinlich!</t>
  </si>
  <si>
    <t>Die berechnete Schlammverweilzeit (SRT=HRT) im Rührkessel ohne Biomasserückhalt  ist &gt; 15 Tage.</t>
  </si>
  <si>
    <t>Voraussetzung für stabilen Betrieb sind gegeben.</t>
  </si>
  <si>
    <t>Die berechnete Schlammverweilzeit (SRT=HRT) im Rührkessel ohne Biomasserückhalt  ist 10-15 Tage.</t>
  </si>
  <si>
    <t>Ein stabiler Prozess ist gefährdet!</t>
  </si>
  <si>
    <t>Die berechnete Schlammverweilzeit (SRT=HRT) im Rührkessel ohne Biomasserückhalt  &lt;10 Tage.</t>
  </si>
  <si>
    <t>Ein instabiler Prozess ist wahrscheinlich!</t>
  </si>
  <si>
    <t>Bei der berechneten hydraulische Verweilzeit (HRT) im Gesamtsystem beträgt &gt;26 Tage.</t>
  </si>
  <si>
    <t>Ein weitgehender Abbau von &gt;99% ist zu erwarten.</t>
  </si>
  <si>
    <t>Die berechnete hydraulische Verweilzeit (HRT) im Gesamtsystem beträgt 13-26 Tage.</t>
  </si>
  <si>
    <t>Ein moderater Abbau von 90-99% ist zu erwarten.</t>
  </si>
  <si>
    <t>Die berechnete hydraulische Verweilzeit (HRT) im Gesamtsystem beträgt &lt;13 Tage.</t>
  </si>
  <si>
    <t>Ein geringer Abbau von &lt;90% ist zu erwarten!</t>
  </si>
  <si>
    <r>
      <t>Die berechnete Raumbelastung (B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 beträgt 2-4 kg oTS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 xml:space="preserve"> d</t>
    </r>
    <r>
      <rPr>
        <vertAlign val="superscript"/>
        <sz val="11"/>
        <color theme="1"/>
        <rFont val="Calibri"/>
        <family val="2"/>
        <scheme val="minor"/>
      </rPr>
      <t>-1</t>
    </r>
  </si>
  <si>
    <t>Die Faulung ist gut ausgelastet.</t>
  </si>
  <si>
    <r>
      <t>Die berechnete Raumbelastung (B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 beträgt &lt;2 kg oTS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 xml:space="preserve"> d</t>
    </r>
    <r>
      <rPr>
        <vertAlign val="superscript"/>
        <sz val="11"/>
        <color theme="1"/>
        <rFont val="Calibri"/>
        <family val="2"/>
        <scheme val="minor"/>
      </rPr>
      <t>-1</t>
    </r>
  </si>
  <si>
    <t>Die Faulung ist wenig ausgelastet.</t>
  </si>
  <si>
    <r>
      <t>Die berechnete Raumbelastung (B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 beträgt &gt;4 kg oTS m</t>
    </r>
    <r>
      <rPr>
        <vertAlign val="superscript"/>
        <sz val="11"/>
        <color theme="1"/>
        <rFont val="Calibri"/>
        <family val="2"/>
        <scheme val="minor"/>
      </rPr>
      <t>-3</t>
    </r>
    <r>
      <rPr>
        <sz val="11"/>
        <color theme="1"/>
        <rFont val="Calibri"/>
        <family val="2"/>
        <scheme val="minor"/>
      </rPr>
      <t xml:space="preserve"> d</t>
    </r>
    <r>
      <rPr>
        <vertAlign val="superscript"/>
        <sz val="11"/>
        <color theme="1"/>
        <rFont val="Calibri"/>
        <family val="2"/>
        <scheme val="minor"/>
      </rPr>
      <t>-1</t>
    </r>
  </si>
  <si>
    <t>Die Faulung ist überlastet, ein instabiler Prozess wahrscheinlich!</t>
  </si>
  <si>
    <t>Datenbank Substrate</t>
  </si>
  <si>
    <t>Substrat</t>
  </si>
  <si>
    <t>Substrate</t>
  </si>
  <si>
    <t>oTS/TS</t>
  </si>
  <si>
    <t>C %</t>
  </si>
  <si>
    <t>H %</t>
  </si>
  <si>
    <t>C:H</t>
  </si>
  <si>
    <t>N %</t>
  </si>
  <si>
    <t>C:N</t>
  </si>
  <si>
    <r>
      <t>BMP</t>
    </r>
    <r>
      <rPr>
        <b/>
        <vertAlign val="subscript"/>
        <sz val="11"/>
        <color theme="0"/>
        <rFont val="Calibri Light"/>
        <family val="2"/>
        <scheme val="major"/>
      </rPr>
      <t>theor.</t>
    </r>
  </si>
  <si>
    <t>Abbaubark.</t>
  </si>
  <si>
    <t>k-Wert</t>
  </si>
  <si>
    <t>Lag</t>
  </si>
  <si>
    <t>T50</t>
  </si>
  <si>
    <r>
      <t>CH</t>
    </r>
    <r>
      <rPr>
        <b/>
        <vertAlign val="subscript"/>
        <sz val="12"/>
        <color theme="0"/>
        <rFont val="Calibri Light"/>
        <family val="2"/>
        <scheme val="major"/>
      </rPr>
      <t>4</t>
    </r>
    <r>
      <rPr>
        <b/>
        <sz val="12"/>
        <color theme="0"/>
        <rFont val="Calibri Light"/>
        <family val="2"/>
        <scheme val="major"/>
      </rPr>
      <t>-Anteil</t>
    </r>
  </si>
  <si>
    <r>
      <t>[L kg</t>
    </r>
    <r>
      <rPr>
        <vertAlign val="superscript"/>
        <sz val="11"/>
        <color theme="0"/>
        <rFont val="Calibri Light"/>
        <family val="2"/>
        <scheme val="major"/>
      </rPr>
      <t>-1</t>
    </r>
    <r>
      <rPr>
        <sz val="11"/>
        <color theme="0"/>
        <rFont val="Calibri Light"/>
        <family val="2"/>
        <scheme val="major"/>
      </rPr>
      <t xml:space="preserve"> FS]</t>
    </r>
  </si>
  <si>
    <r>
      <t>[d</t>
    </r>
    <r>
      <rPr>
        <vertAlign val="superscript"/>
        <sz val="11"/>
        <color theme="0"/>
        <rFont val="Calibri Light"/>
        <family val="2"/>
        <scheme val="major"/>
      </rPr>
      <t>-1</t>
    </r>
    <r>
      <rPr>
        <sz val="11"/>
        <color theme="0"/>
        <rFont val="Calibri Light"/>
        <family val="2"/>
        <scheme val="major"/>
      </rPr>
      <t>]</t>
    </r>
  </si>
  <si>
    <t>Mittelwert</t>
  </si>
  <si>
    <t>SD absolut</t>
  </si>
  <si>
    <t>SD relativ</t>
  </si>
  <si>
    <t>Minimalwert</t>
  </si>
  <si>
    <t>Maximalwert</t>
  </si>
  <si>
    <t>25% Quartile, hoch</t>
  </si>
  <si>
    <t>25% Quartile, tief</t>
  </si>
  <si>
    <t>Altbrot</t>
  </si>
  <si>
    <t>Bread waste</t>
  </si>
  <si>
    <t>Allen et al. (2016)</t>
  </si>
  <si>
    <t>Brandenburger Biogas</t>
  </si>
  <si>
    <t>Backabfälle</t>
  </si>
  <si>
    <t>Bakery</t>
  </si>
  <si>
    <t>WAS</t>
  </si>
  <si>
    <t>Brauereischlempe</t>
  </si>
  <si>
    <t>Brewing stillage</t>
  </si>
  <si>
    <t>Druckentspannungsflotat</t>
  </si>
  <si>
    <t>DAF</t>
  </si>
  <si>
    <t>Energierüben</t>
  </si>
  <si>
    <t>Energy beet</t>
  </si>
  <si>
    <t>Fettabscheidermaterial</t>
  </si>
  <si>
    <t>Grease trap</t>
  </si>
  <si>
    <t>n.a.</t>
  </si>
  <si>
    <t>Fisch</t>
  </si>
  <si>
    <t>Fish</t>
  </si>
  <si>
    <t>Schätzwert</t>
  </si>
  <si>
    <t>Frischschlamm</t>
  </si>
  <si>
    <t>eigene Werte</t>
  </si>
  <si>
    <t>Futterrübe</t>
  </si>
  <si>
    <t>Fodder Beet</t>
  </si>
  <si>
    <t>Gastronomieabfälle (Sommer)</t>
  </si>
  <si>
    <t>CFW (summer)</t>
  </si>
  <si>
    <t>Gastronomieabfälle (Winter)</t>
  </si>
  <si>
    <t>CFW (winter)</t>
  </si>
  <si>
    <t>Gebrauchtes Speiseöl</t>
  </si>
  <si>
    <t xml:space="preserve">UCO </t>
  </si>
  <si>
    <t>Geflügelmist</t>
  </si>
  <si>
    <t>Poultry manure</t>
  </si>
  <si>
    <t>Gras (Welksilage)</t>
  </si>
  <si>
    <t>Grass digestate</t>
  </si>
  <si>
    <t>Gras, frisch</t>
  </si>
  <si>
    <t>Fresh Grass</t>
  </si>
  <si>
    <t>Grassilage (Mittelland)</t>
  </si>
  <si>
    <t>Grass silage (midlands)</t>
  </si>
  <si>
    <t>Grassilage (Nord)</t>
  </si>
  <si>
    <t>Grass silage (north)</t>
  </si>
  <si>
    <t>Grassilage (Spätschnitt)</t>
  </si>
  <si>
    <t>Late cut silage</t>
  </si>
  <si>
    <t>Grassilage (Süd)</t>
  </si>
  <si>
    <t>Grass silage (south)</t>
  </si>
  <si>
    <t>Gülle (Herbst)</t>
  </si>
  <si>
    <t>Autumn slurry</t>
  </si>
  <si>
    <t>Gülle (Milchkühe)</t>
  </si>
  <si>
    <t>Slurry (dairy heifers)</t>
  </si>
  <si>
    <t>Heu</t>
  </si>
  <si>
    <t xml:space="preserve">Hay </t>
  </si>
  <si>
    <t>Hofdünger</t>
  </si>
  <si>
    <t>Farm yard manure</t>
  </si>
  <si>
    <t>Kartoffeln (Kerr)</t>
  </si>
  <si>
    <t>Potatoes, Kerr</t>
  </si>
  <si>
    <t>Kartoffeln (Roosters)</t>
  </si>
  <si>
    <t>Potatoes, Roosters</t>
  </si>
  <si>
    <t>Klärschlamm, eingedickt</t>
  </si>
  <si>
    <t>WWTS</t>
  </si>
  <si>
    <t>Lebensmittelabfälle</t>
  </si>
  <si>
    <t>Grocery waste</t>
  </si>
  <si>
    <t>Lebensmittelabfälle (Sammelstelle)</t>
  </si>
  <si>
    <t>FWCCC (domestic)</t>
  </si>
  <si>
    <t>Lebensmittelabfälle gemischt (Sammelstelle)</t>
  </si>
  <si>
    <t>FWCCC (Mix)</t>
  </si>
  <si>
    <t>Lebensmittelabfälle getrocknet (Sammelstelle)</t>
  </si>
  <si>
    <t>FWCCC (domestic and dried)</t>
  </si>
  <si>
    <t>Lebensmittelabfälle kommerziell</t>
  </si>
  <si>
    <t>FWCCC (commercial)</t>
  </si>
  <si>
    <t>Lebensmittelabfälle, ländlich (mit Gras)</t>
  </si>
  <si>
    <t>RFW (with grass)</t>
  </si>
  <si>
    <t>Lebensmittelabfälle, ländlich (ohne Gras)</t>
  </si>
  <si>
    <t>RFW (without grass)</t>
  </si>
  <si>
    <t>Lebensmittelabfälle, städitisch (mit Gras)</t>
  </si>
  <si>
    <t>UFW (with grass)</t>
  </si>
  <si>
    <t>Lebensmittelabfälle, städitisch (ohne Gras)</t>
  </si>
  <si>
    <t>UFW (without grass)</t>
  </si>
  <si>
    <t>Mais frisch</t>
  </si>
  <si>
    <t>Fresh Maize</t>
  </si>
  <si>
    <t>Maissilage</t>
  </si>
  <si>
    <t>Maize silage</t>
  </si>
  <si>
    <t>Milchviehgülle (Dec-Jan)</t>
  </si>
  <si>
    <t>Slurry (Dec-Jan)</t>
  </si>
  <si>
    <t>Milchviehgülle (Feb-Apr)</t>
  </si>
  <si>
    <t>Dairy Slurry (Feb-Apr)</t>
  </si>
  <si>
    <t>Milchviehgülle (Sommer) A</t>
  </si>
  <si>
    <t>Summer slurry B</t>
  </si>
  <si>
    <t>Milchviehgülle (Sommer) B</t>
  </si>
  <si>
    <t>Summer slurry</t>
  </si>
  <si>
    <t>Milchviehgülle (Waschwasser)</t>
  </si>
  <si>
    <t>Parlour washings</t>
  </si>
  <si>
    <t>Molke 8%</t>
  </si>
  <si>
    <t>8% sludge</t>
  </si>
  <si>
    <t>Molke 8% (ohne Flotat)</t>
  </si>
  <si>
    <t>8% sludge (without DAF)</t>
  </si>
  <si>
    <t>Ölraps Ganzpflanze</t>
  </si>
  <si>
    <t>OSR Whole Crop</t>
  </si>
  <si>
    <t>Ölraps nicht zerkleinert</t>
  </si>
  <si>
    <t>OSR not macerated</t>
  </si>
  <si>
    <t>Ölraps zerkleinert</t>
  </si>
  <si>
    <t>OSR (macerated)</t>
  </si>
  <si>
    <t>Panseninhalt</t>
  </si>
  <si>
    <t>Abattoir waste (paunch content)</t>
  </si>
  <si>
    <t>Park- und Grasabfälle</t>
  </si>
  <si>
    <t>CPGW (City park and grass waste)</t>
  </si>
  <si>
    <t>Primärschlamm</t>
  </si>
  <si>
    <t>Rindergülle</t>
  </si>
  <si>
    <t>Slurry (beef)</t>
  </si>
  <si>
    <t>Rüben</t>
  </si>
  <si>
    <t xml:space="preserve">Turnips </t>
  </si>
  <si>
    <t>Savazi-Gras</t>
  </si>
  <si>
    <t>Savazi grass</t>
  </si>
  <si>
    <t>Schlachtabfälle</t>
  </si>
  <si>
    <t>Abattoir waste (mix)</t>
  </si>
  <si>
    <t>Schlachthofabfälle (Schlamm)</t>
  </si>
  <si>
    <t>Abattoir waste (green sludge)</t>
  </si>
  <si>
    <t>Schweinegülle</t>
  </si>
  <si>
    <t>Pig slurry</t>
  </si>
  <si>
    <t>Silage 1. Schnitt (spät)</t>
  </si>
  <si>
    <t>Late 1st cut silage</t>
  </si>
  <si>
    <t>Silage 2. Schnitt (Süd)</t>
  </si>
  <si>
    <t>Silage (2nd cut, south)</t>
  </si>
  <si>
    <t>Silage Sickersaft</t>
  </si>
  <si>
    <t>Silage effluent</t>
  </si>
  <si>
    <t>Silageballen 1. Schnitt</t>
  </si>
  <si>
    <t>Silage Bales (1st cut)</t>
  </si>
  <si>
    <t>Silageballen 2. Schnitt</t>
  </si>
  <si>
    <t>Silage Bales (2nd cut)</t>
  </si>
  <si>
    <t>Sommergerste</t>
  </si>
  <si>
    <t>Spring Barley</t>
  </si>
  <si>
    <t>Sommerweizen</t>
  </si>
  <si>
    <t>Spring Wheat</t>
  </si>
  <si>
    <t>Triticale</t>
  </si>
  <si>
    <t xml:space="preserve">Triticale </t>
  </si>
  <si>
    <t>Überschusschlamm</t>
  </si>
  <si>
    <t>Wintergerste</t>
  </si>
  <si>
    <t>Winter Barley</t>
  </si>
  <si>
    <t>Winterhafer</t>
  </si>
  <si>
    <t>Winter Oats</t>
  </si>
  <si>
    <t>Winterweizen</t>
  </si>
  <si>
    <t>Winter Wheat</t>
  </si>
  <si>
    <t>Zuckerrüben</t>
  </si>
  <si>
    <t>Sugar beet</t>
  </si>
  <si>
    <t>Zuckerrübenköpfe</t>
  </si>
  <si>
    <t>Substrat 1</t>
  </si>
  <si>
    <t>Substrat 2</t>
  </si>
  <si>
    <t>Substrat 3</t>
  </si>
  <si>
    <t>Substrat 4</t>
  </si>
  <si>
    <t>Substrat 5</t>
  </si>
  <si>
    <t>Substrat 6</t>
  </si>
  <si>
    <t>Substrat 7</t>
  </si>
  <si>
    <t>Substrat 8</t>
  </si>
  <si>
    <t>Substrat 9</t>
  </si>
  <si>
    <t>Substrat 10</t>
  </si>
  <si>
    <t>Substrat 11</t>
  </si>
  <si>
    <t>Substrat 12</t>
  </si>
  <si>
    <t>Substrat 13</t>
  </si>
  <si>
    <t>Substrat 14</t>
  </si>
  <si>
    <t>Substrat 15</t>
  </si>
  <si>
    <t>Substrat 16</t>
  </si>
  <si>
    <t>Substrat 17</t>
  </si>
  <si>
    <t>Substrat 18</t>
  </si>
  <si>
    <t>Substrat 19</t>
  </si>
  <si>
    <t>Substrat 20</t>
  </si>
  <si>
    <t>Wert</t>
  </si>
  <si>
    <t>Einheit</t>
  </si>
  <si>
    <t>Konstanten</t>
  </si>
  <si>
    <t>Tagesstunden</t>
  </si>
  <si>
    <t>[h]</t>
  </si>
  <si>
    <t>Jahrestage</t>
  </si>
  <si>
    <t>Jahresstunden</t>
  </si>
  <si>
    <t>Methanproduktion pro CSB</t>
  </si>
  <si>
    <r>
      <t>[Nml 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]</t>
    </r>
  </si>
  <si>
    <t>Methanproduktion aus einem Gramm CSB</t>
  </si>
  <si>
    <t>Kaltschmitt et al. (2016): Energie aus Biomasse</t>
  </si>
  <si>
    <t>Heizwert Methan</t>
  </si>
  <si>
    <r>
      <t>[kWh Nm</t>
    </r>
    <r>
      <rPr>
        <vertAlign val="superscript"/>
        <sz val="10"/>
        <color theme="1"/>
        <rFont val="Calibri"/>
        <family val="2"/>
        <scheme val="minor"/>
      </rPr>
      <t>-3</t>
    </r>
    <r>
      <rPr>
        <sz val="10"/>
        <color theme="1"/>
        <rFont val="Calibri"/>
        <family val="2"/>
        <scheme val="minor"/>
      </rPr>
      <t>]</t>
    </r>
  </si>
  <si>
    <t>Heizwert eines Normkubikmeters Methan bei 25°C</t>
  </si>
  <si>
    <t>Liter pro Mol</t>
  </si>
  <si>
    <r>
      <t>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mol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]</t>
    </r>
  </si>
  <si>
    <r>
      <t>Molmasse CH</t>
    </r>
    <r>
      <rPr>
        <vertAlign val="subscript"/>
        <sz val="11"/>
        <color theme="1"/>
        <rFont val="Calibri"/>
        <family val="2"/>
        <scheme val="minor"/>
      </rPr>
      <t>4</t>
    </r>
  </si>
  <si>
    <r>
      <t>[g mol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]</t>
    </r>
  </si>
  <si>
    <r>
      <t>Molmasse CO</t>
    </r>
    <r>
      <rPr>
        <vertAlign val="subscript"/>
        <sz val="11"/>
        <color theme="1"/>
        <rFont val="Calibri"/>
        <family val="2"/>
        <scheme val="minor"/>
      </rPr>
      <t>2</t>
    </r>
  </si>
  <si>
    <t>Kennzahlen</t>
  </si>
  <si>
    <t>BHKW-Wirkungsgrad elektrisch</t>
  </si>
  <si>
    <r>
      <t>[kW</t>
    </r>
    <r>
      <rPr>
        <vertAlign val="subscript"/>
        <sz val="10"/>
        <rFont val="Calibri"/>
        <family val="2"/>
        <scheme val="minor"/>
      </rPr>
      <t>el</t>
    </r>
    <r>
      <rPr>
        <sz val="10"/>
        <rFont val="Calibri"/>
        <family val="2"/>
        <scheme val="minor"/>
      </rPr>
      <t xml:space="preserve"> kW</t>
    </r>
    <r>
      <rPr>
        <vertAlign val="subscript"/>
        <sz val="10"/>
        <rFont val="Calibri"/>
        <family val="2"/>
        <scheme val="minor"/>
      </rPr>
      <t>ch</t>
    </r>
    <r>
      <rPr>
        <vertAlign val="superscript"/>
        <sz val="10"/>
        <rFont val="Calibri"/>
        <family val="2"/>
        <scheme val="minor"/>
      </rPr>
      <t>-1</t>
    </r>
    <r>
      <rPr>
        <sz val="10"/>
        <rFont val="Calibri"/>
        <family val="2"/>
        <scheme val="minor"/>
      </rPr>
      <t>]</t>
    </r>
  </si>
  <si>
    <t>Berechnet aus Elektrizitätsproduktion dividiert durch (Bruttoenergie Klärgas minus Einspeisung ins Gasnetz)</t>
  </si>
  <si>
    <t>BFE (2020): Schweizerische Statistik der erneuerbaren Energien</t>
  </si>
  <si>
    <t>BHKW-Wirkungsgrad thermisch</t>
  </si>
  <si>
    <r>
      <t>[kW</t>
    </r>
    <r>
      <rPr>
        <vertAlign val="subscript"/>
        <sz val="10"/>
        <rFont val="Calibri"/>
        <family val="2"/>
        <scheme val="minor"/>
      </rPr>
      <t>th</t>
    </r>
    <r>
      <rPr>
        <sz val="10"/>
        <rFont val="Calibri"/>
        <family val="2"/>
        <scheme val="minor"/>
      </rPr>
      <t xml:space="preserve"> kW</t>
    </r>
    <r>
      <rPr>
        <vertAlign val="subscript"/>
        <sz val="10"/>
        <rFont val="Calibri"/>
        <family val="2"/>
        <scheme val="minor"/>
      </rPr>
      <t>ch</t>
    </r>
    <r>
      <rPr>
        <vertAlign val="superscript"/>
        <sz val="10"/>
        <rFont val="Calibri"/>
        <family val="2"/>
        <scheme val="minor"/>
      </rPr>
      <t>-1</t>
    </r>
    <r>
      <rPr>
        <sz val="10"/>
        <rFont val="Calibri"/>
        <family val="2"/>
        <scheme val="minor"/>
      </rPr>
      <t>]</t>
    </r>
  </si>
  <si>
    <t>Berechnet aus genutzte Wärme dividiert durch (Bruttoenergie Klärgas minus Einspeisung ins Gasnetz)</t>
  </si>
  <si>
    <t>Wärmeverlust</t>
  </si>
  <si>
    <t>1 minus BHKW-Wirkungsgrad elektrisch minus BHKW-Wirkungsgrad thermisch</t>
  </si>
  <si>
    <r>
      <t>[kg TS EGW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d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</si>
  <si>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t>Schlammanteil des Frischschlamms aus dem Vorklärbecken</t>
  </si>
  <si>
    <t>Gujer et al. (1999): Siedlungswasserwirtschaft</t>
  </si>
  <si>
    <t>Schlammanteil des Frischschlamms aus dem Belebtschlamm-/Nachklärbecken</t>
  </si>
  <si>
    <t>Überschussschlamm</t>
  </si>
  <si>
    <t>Input in Faulturm</t>
  </si>
  <si>
    <t>Erfahrungs- und Grenzwerte</t>
  </si>
  <si>
    <t>Dichte Klärschlamm</t>
  </si>
  <si>
    <r>
      <t>[m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t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]</t>
    </r>
  </si>
  <si>
    <t>Annahme: Dichte wie Wasser bei 4°C</t>
  </si>
  <si>
    <t>Stöchiometrische Biogasbildung Kohlenhydrate</t>
  </si>
  <si>
    <r>
      <t>[Nm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t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 xml:space="preserve"> oTS]</t>
    </r>
  </si>
  <si>
    <t>Theoretische Biogasbildung des abbaubaren Anteils</t>
  </si>
  <si>
    <t>Fachagentur Nachwachsende Rohstoffe (2016): Leitfaden Biogas</t>
  </si>
  <si>
    <t>Stöchiometrische Biogasbildung Lipide</t>
  </si>
  <si>
    <t>Stöchiometrische Biogasbildung Proteine</t>
  </si>
  <si>
    <t>Methananteil Kohlenhydrate</t>
  </si>
  <si>
    <t>Theoretischer Methananteil des abbaubaren Anteils</t>
  </si>
  <si>
    <t>Methananteil Lipide</t>
  </si>
  <si>
    <t>Methananteil Proteine</t>
  </si>
  <si>
    <t>Biomasse-Yield</t>
  </si>
  <si>
    <t>Der Anteil des Substrates, der in die Mikroorganismen-Biomasse umgewandelt wird (3-10%).</t>
  </si>
  <si>
    <t>Biogas-Yield</t>
  </si>
  <si>
    <t>Der Anteil des Substrates, der zu Biogas abgebaut wird (90-97%).</t>
  </si>
  <si>
    <r>
      <t>Maximale Raumbelastung (B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</si>
  <si>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t>[kg oTS d</t>
    </r>
    <r>
      <rPr>
        <vertAlign val="superscript"/>
        <sz val="10"/>
        <color theme="1"/>
        <rFont val="Calibri"/>
        <family val="2"/>
        <scheme val="minor"/>
      </rPr>
      <t xml:space="preserve">-1 </t>
    </r>
    <r>
      <rPr>
        <sz val="10"/>
        <color theme="1"/>
        <rFont val="Calibri"/>
        <family val="2"/>
        <scheme val="minor"/>
      </rPr>
      <t>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]</t>
    </r>
  </si>
  <si>
    <t>Maximale tägliche oTS-Fracht pro Nutzvolumen des Faulraums, bei welcher ein stabiler Abbauprozess gewährleistet ist.</t>
  </si>
  <si>
    <t>eigene Abschätzung</t>
  </si>
  <si>
    <t>Minimale hydraulische Verweilzeit (HRT)</t>
  </si>
  <si>
    <t>Minimale Verweilzeit im Faulraum, bei welcher die Methanbildner nicht ausgewaschen werden.</t>
  </si>
  <si>
    <t>oTS/TOC</t>
  </si>
  <si>
    <t>Je nach Substrat liegt der Umrechnungsfaktor zwischen 1.8 und 2.2.</t>
  </si>
  <si>
    <t>Gleichgewichtsverhältnisse</t>
  </si>
  <si>
    <r>
      <t xml:space="preserve">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(g) : CH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(gebildet)</t>
    </r>
  </si>
  <si>
    <t>Verhältnis des gebildeten Kohlendioxids in der Gasphase zum total gebildeten Kohlendioxid bei 37°C, Atmosphärendruck und pH-Wert von 7.0.</t>
  </si>
  <si>
    <r>
      <t xml:space="preserve">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(g) :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(gebildet)</t>
    </r>
  </si>
  <si>
    <t>Verhältnis des gebildeten Methans in der Gasphase  zum total gebildeten Methan bei 37°C, Atmosphärendruck und pH-Wert von 7.0.</t>
  </si>
  <si>
    <r>
      <t xml:space="preserve"> NH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(g) : NH</t>
    </r>
    <r>
      <rPr>
        <vertAlign val="subscript"/>
        <sz val="11"/>
        <color theme="1"/>
        <rFont val="Calibri"/>
        <family val="2"/>
        <scheme val="minor"/>
      </rPr>
      <t>4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(gebildet)</t>
    </r>
  </si>
  <si>
    <t>Verhältnis des gebildeten Ammoniaks in der Gasphase zum total gebildeten Ammoniaks bei 37°C, Atmosphärendruck und pH-Wert von 7.0.</t>
  </si>
  <si>
    <r>
      <t xml:space="preserve"> 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 (g) : S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 xml:space="preserve"> (gebildet)</t>
    </r>
  </si>
  <si>
    <t>Verhältnis des gebildeten Schwefelwasserstoffs in der Gasphase zum total gebildeten Schwefelwasserstoff bei 37°C, Atmosphärendruck und pH-Wert von 7.0.</t>
  </si>
  <si>
    <t>Schlammmenge pro Einwohnergleichwert (EGW)</t>
  </si>
  <si>
    <t>EGW</t>
  </si>
  <si>
    <t>[Anz.]</t>
  </si>
  <si>
    <t>TS pro EGW</t>
  </si>
  <si>
    <t>TS-Fracht</t>
  </si>
  <si>
    <t>[t TS]</t>
  </si>
  <si>
    <t>TS-Konzentration</t>
  </si>
  <si>
    <r>
      <t>[g L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</si>
  <si>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r>
      <t>[m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]</t>
    </r>
  </si>
  <si>
    <t>Berechnete Werte eintragen!</t>
  </si>
  <si>
    <t>Zellen B6-B27</t>
  </si>
  <si>
    <t>oTS berechnen aus CSB oder TOC</t>
  </si>
  <si>
    <t>aus CSB</t>
  </si>
  <si>
    <t>aus TOC</t>
  </si>
  <si>
    <t>Hilfstabelle</t>
  </si>
  <si>
    <t>CSB</t>
  </si>
  <si>
    <t>oTS aus CSB</t>
  </si>
  <si>
    <t>TOC</t>
  </si>
  <si>
    <t>oTS aus TOC</t>
  </si>
  <si>
    <r>
      <t>Y</t>
    </r>
    <r>
      <rPr>
        <b/>
        <vertAlign val="subscript"/>
        <sz val="11"/>
        <color theme="0"/>
        <rFont val="Calibri Light"/>
        <family val="2"/>
        <scheme val="major"/>
      </rPr>
      <t>Biogas</t>
    </r>
  </si>
  <si>
    <t>oTS/CSB</t>
  </si>
  <si>
    <r>
      <t>[g L</t>
    </r>
    <r>
      <rPr>
        <vertAlign val="superscript"/>
        <sz val="11"/>
        <color theme="0"/>
        <rFont val="Calibri Light"/>
        <family val="2"/>
        <scheme val="major"/>
      </rPr>
      <t>-1</t>
    </r>
    <r>
      <rPr>
        <sz val="11"/>
        <color theme="0"/>
        <rFont val="Calibri Light"/>
        <family val="2"/>
        <scheme val="major"/>
      </rPr>
      <t>]</t>
    </r>
  </si>
  <si>
    <r>
      <t>[kg oTS L</t>
    </r>
    <r>
      <rPr>
        <vertAlign val="superscript"/>
        <sz val="11"/>
        <color theme="0"/>
        <rFont val="Calibri Light"/>
        <family val="2"/>
        <scheme val="major"/>
      </rPr>
      <t>-1</t>
    </r>
    <r>
      <rPr>
        <sz val="11"/>
        <color theme="0"/>
        <rFont val="Calibri Light"/>
        <family val="2"/>
        <scheme val="major"/>
      </rPr>
      <t xml:space="preserve"> FS]</t>
    </r>
  </si>
  <si>
    <t>Spalte D</t>
  </si>
  <si>
    <t>Spezifische Biogasproduktion anhand von Massenanteilen der Makroelemente abschätzen</t>
  </si>
  <si>
    <t>Eingabemaske Massenanteile</t>
  </si>
  <si>
    <t>Resultate</t>
  </si>
  <si>
    <t>Lignin</t>
  </si>
  <si>
    <t>Kohlenhydrate</t>
  </si>
  <si>
    <t>Lipide</t>
  </si>
  <si>
    <t>Proteine</t>
  </si>
  <si>
    <t>Kontrolle</t>
  </si>
  <si>
    <t>=100 %?</t>
  </si>
  <si>
    <t>Joghurt</t>
  </si>
  <si>
    <t>Spalten E, F</t>
  </si>
  <si>
    <t>Berechnungsgrundlagen</t>
  </si>
  <si>
    <t>Biogasyield</t>
  </si>
  <si>
    <r>
      <t>BMP</t>
    </r>
    <r>
      <rPr>
        <b/>
        <vertAlign val="subscript"/>
        <sz val="11"/>
        <color theme="0"/>
        <rFont val="Calibri Light"/>
        <family val="2"/>
        <scheme val="major"/>
      </rPr>
      <t>max</t>
    </r>
  </si>
  <si>
    <t>Stöchiometrische Berechnung der Biogaszusammensetzung nach Buswell</t>
  </si>
  <si>
    <t>C:H:O:N:S-Verhältnis</t>
  </si>
  <si>
    <t>Falls nicht bekannt:</t>
  </si>
  <si>
    <t>Stöchiometrische Zusammensetzung eingeben</t>
  </si>
  <si>
    <t>Kohlenstoff</t>
  </si>
  <si>
    <t>C</t>
  </si>
  <si>
    <t>Wasserstoff</t>
  </si>
  <si>
    <t>H</t>
  </si>
  <si>
    <t>Sauerstoff</t>
  </si>
  <si>
    <t>O</t>
  </si>
  <si>
    <t>Stickstoff</t>
  </si>
  <si>
    <t>N</t>
  </si>
  <si>
    <t>Schwefel</t>
  </si>
  <si>
    <t>S</t>
  </si>
  <si>
    <t>Berechnung der Anteile im Biogas</t>
  </si>
  <si>
    <t>Stöchiometrischer Anteil</t>
  </si>
  <si>
    <t>Anteil im Biogas</t>
  </si>
  <si>
    <t>Gasphasenanteil</t>
  </si>
  <si>
    <t>Stöchimetrischer Anteil in Gasphase</t>
  </si>
  <si>
    <t>Methan</t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</si>
  <si>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</si>
  <si>
    <t>Kohlendioxid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</si>
  <si>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</si>
  <si>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Ammoniak</t>
  </si>
  <si>
    <r>
      <t>NH</t>
    </r>
    <r>
      <rPr>
        <vertAlign val="subscript"/>
        <sz val="11"/>
        <color theme="1"/>
        <rFont val="Calibri"/>
        <family val="2"/>
        <scheme val="minor"/>
      </rPr>
      <t>3</t>
    </r>
  </si>
  <si>
    <t>Schwefelwasserstoff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</si>
  <si>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</t>
    </r>
  </si>
  <si>
    <t>Total</t>
  </si>
  <si>
    <t>Berechneter Wert eintragen!</t>
  </si>
  <si>
    <t>Spalte F</t>
  </si>
  <si>
    <r>
      <t>Y</t>
    </r>
    <r>
      <rPr>
        <b/>
        <vertAlign val="subscript"/>
        <sz val="11"/>
        <color theme="0"/>
        <rFont val="Calibri Light"/>
        <family val="2"/>
        <scheme val="major"/>
      </rPr>
      <t>CH4</t>
    </r>
    <r>
      <rPr>
        <b/>
        <sz val="12"/>
        <color theme="0"/>
        <rFont val="Calibri Light"/>
        <family val="2"/>
        <scheme val="major"/>
      </rPr>
      <t xml:space="preserve"> (t)</t>
    </r>
  </si>
  <si>
    <t>Fehlende k-Werte abschätzen.</t>
  </si>
  <si>
    <t>Spalte Q</t>
  </si>
  <si>
    <t>Der angepasste Abbaugrad wird automatisch übernommen.</t>
  </si>
  <si>
    <t>Substratmenge TS</t>
  </si>
  <si>
    <t>oTS-Konzentration</t>
  </si>
  <si>
    <t>Substratmenge oTS</t>
  </si>
  <si>
    <r>
      <t>BMP</t>
    </r>
    <r>
      <rPr>
        <b/>
        <vertAlign val="subscript"/>
        <sz val="11"/>
        <color theme="0"/>
        <rFont val="Calibri Light"/>
        <family val="2"/>
        <scheme val="major"/>
      </rPr>
      <t>Test</t>
    </r>
  </si>
  <si>
    <t>spez. Methanertrag</t>
  </si>
  <si>
    <t>Energieertrag</t>
  </si>
  <si>
    <t>Leistung</t>
  </si>
  <si>
    <t>Methanertragsanteile</t>
  </si>
  <si>
    <r>
      <t>[m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FS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</si>
  <si>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[kg TS L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 xml:space="preserve"> FS]</t>
    </r>
  </si>
  <si>
    <r>
      <t>[t TS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</si>
  <si>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[t oTS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</si>
  <si>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[kg oTS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</si>
  <si>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[Nm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</si>
  <si>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[Nm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a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</si>
  <si>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[Nm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 xml:space="preserve"> t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 xml:space="preserve"> oTS]</t>
    </r>
  </si>
  <si>
    <r>
      <t>[kWh d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</si>
  <si>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r>
      <t>[kWh a</t>
    </r>
    <r>
      <rPr>
        <vertAlign val="superscript"/>
        <sz val="11"/>
        <color theme="0"/>
        <rFont val="Calibri"/>
        <family val="2"/>
        <scheme val="minor"/>
      </rPr>
      <t>-1</t>
    </r>
    <r>
      <rPr>
        <sz val="11"/>
        <color theme="0"/>
        <rFont val="Calibri"/>
        <family val="2"/>
        <scheme val="minor"/>
      </rPr>
      <t>]</t>
    </r>
  </si>
  <si>
    <t>[kW]</t>
  </si>
  <si>
    <t>Summe</t>
  </si>
  <si>
    <t>Durchschnitt</t>
  </si>
  <si>
    <t>Energie und Produktivität</t>
  </si>
  <si>
    <t>Energiekennwerte KWK (z.B. BHKW)</t>
  </si>
  <si>
    <t>Wirkungsgrad elektrisch</t>
  </si>
  <si>
    <r>
      <t>[kW</t>
    </r>
    <r>
      <rPr>
        <vertAlign val="subscript"/>
        <sz val="11"/>
        <rFont val="Calibri"/>
        <family val="2"/>
        <scheme val="minor"/>
      </rPr>
      <t>el</t>
    </r>
    <r>
      <rPr>
        <sz val="11"/>
        <rFont val="Calibri"/>
        <family val="2"/>
        <scheme val="minor"/>
      </rPr>
      <t>/kW</t>
    </r>
    <r>
      <rPr>
        <vertAlign val="subscript"/>
        <sz val="11"/>
        <rFont val="Calibri"/>
        <family val="2"/>
        <scheme val="minor"/>
      </rPr>
      <t>ch</t>
    </r>
    <r>
      <rPr>
        <sz val="11"/>
        <rFont val="Calibri"/>
        <family val="2"/>
        <scheme val="minor"/>
      </rPr>
      <t>]</t>
    </r>
  </si>
  <si>
    <t>Wirkungsgrad thermisch</t>
  </si>
  <si>
    <r>
      <t>[kW</t>
    </r>
    <r>
      <rPr>
        <vertAlign val="sub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>/kW</t>
    </r>
    <r>
      <rPr>
        <vertAlign val="subscript"/>
        <sz val="11"/>
        <rFont val="Calibri"/>
        <family val="2"/>
        <scheme val="minor"/>
      </rPr>
      <t>ch</t>
    </r>
    <r>
      <rPr>
        <sz val="11"/>
        <rFont val="Calibri"/>
        <family val="2"/>
        <scheme val="minor"/>
      </rPr>
      <t>]</t>
    </r>
  </si>
  <si>
    <t>Anteile der Energieproduktion aus Haupt- und Co-Substraten</t>
  </si>
  <si>
    <t>Anteil aus Hauptsubstraten</t>
  </si>
  <si>
    <t>Anteil aus Co-Substraten</t>
  </si>
  <si>
    <t>Hauptsubstrate</t>
  </si>
  <si>
    <t>Co-Substrate</t>
  </si>
  <si>
    <t>Energieertrag pro Stunde</t>
  </si>
  <si>
    <r>
      <t>[kWh h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</si>
  <si>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Energieertrag pro Tag</t>
  </si>
  <si>
    <r>
      <t>[kWh d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</si>
  <si>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Energieertrag pro Jahr</t>
  </si>
  <si>
    <r>
      <t>[MWh a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</si>
  <si>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Stromertrag pro Stunde</t>
  </si>
  <si>
    <r>
      <t>[kWh</t>
    </r>
    <r>
      <rPr>
        <vertAlign val="subscript"/>
        <sz val="11"/>
        <rFont val="Calibri"/>
        <family val="2"/>
        <scheme val="minor"/>
      </rPr>
      <t>el</t>
    </r>
    <r>
      <rPr>
        <sz val="11"/>
        <rFont val="Calibri"/>
        <family val="2"/>
        <scheme val="minor"/>
      </rPr>
      <t xml:space="preserve"> h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</si>
  <si>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Stromertrag pro Tag</t>
  </si>
  <si>
    <r>
      <t>[kWh</t>
    </r>
    <r>
      <rPr>
        <vertAlign val="subscript"/>
        <sz val="11"/>
        <rFont val="Calibri"/>
        <family val="2"/>
        <scheme val="minor"/>
      </rPr>
      <t>el</t>
    </r>
    <r>
      <rPr>
        <sz val="11"/>
        <rFont val="Calibri"/>
        <family val="2"/>
        <scheme val="minor"/>
      </rPr>
      <t xml:space="preserve"> d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</si>
  <si>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Stromertrag pro Jahr</t>
  </si>
  <si>
    <r>
      <t>[MWh</t>
    </r>
    <r>
      <rPr>
        <vertAlign val="subscript"/>
        <sz val="11"/>
        <rFont val="Calibri"/>
        <family val="2"/>
        <scheme val="minor"/>
      </rPr>
      <t>el</t>
    </r>
    <r>
      <rPr>
        <sz val="11"/>
        <rFont val="Calibri"/>
        <family val="2"/>
        <scheme val="minor"/>
      </rPr>
      <t xml:space="preserve"> a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</si>
  <si>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Wärmeertrag pro Stunde</t>
  </si>
  <si>
    <r>
      <t>[kWh</t>
    </r>
    <r>
      <rPr>
        <vertAlign val="sub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h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</si>
  <si>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Wärmeertrag pro Tag</t>
  </si>
  <si>
    <r>
      <t>[kWh</t>
    </r>
    <r>
      <rPr>
        <vertAlign val="sub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d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</si>
  <si>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Wärmeertrag pro Jahr</t>
  </si>
  <si>
    <r>
      <t>[MWh</t>
    </r>
    <r>
      <rPr>
        <vertAlign val="sub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a</t>
    </r>
    <r>
      <rPr>
        <vertAlign val="superscript"/>
        <sz val="11"/>
        <rFont val="Calibri"/>
        <family val="2"/>
        <scheme val="minor"/>
      </rPr>
      <t>-1</t>
    </r>
    <r>
      <rPr>
        <sz val="11"/>
        <rFont val="Calibri"/>
        <family val="2"/>
        <scheme val="minor"/>
      </rPr>
      <t>]</t>
    </r>
  </si>
  <si>
    <t>Leistung im Biogas</t>
  </si>
  <si>
    <t>Leistung elektrisch</t>
  </si>
  <si>
    <t>Leistung thermisch</t>
  </si>
  <si>
    <t>Verweilzeit</t>
  </si>
  <si>
    <t>Faulraum-Nutzvolumen</t>
  </si>
  <si>
    <t>Nutzvolumen Stufe 1</t>
  </si>
  <si>
    <t>Nutzvolumen der jeweiligen Prozessstufe</t>
  </si>
  <si>
    <t>Nutzvolumen Stufe 2</t>
  </si>
  <si>
    <t>Nutzvolumen Stufe 3</t>
  </si>
  <si>
    <t>Nutzvolumen Gesamtsystem</t>
  </si>
  <si>
    <r>
      <t>[Bm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</si>
  <si>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t>Gesamtes Faulraum-Nutzvolumen</t>
  </si>
  <si>
    <t>Hydraulische Verweilzeit HRT</t>
  </si>
  <si>
    <t>HRT Stufe 1</t>
  </si>
  <si>
    <t>HRT Stufe 2</t>
  </si>
  <si>
    <t>oTS-Abbau in Stufe 2 nicht berücksichtigt</t>
  </si>
  <si>
    <t>HRT Stufe 3</t>
  </si>
  <si>
    <t>oTS-Abbau in Stufe 3 nicht berücksichtigt</t>
  </si>
  <si>
    <t>HRT Gesamtsystem</t>
  </si>
  <si>
    <t>oTS-Abbau in Stufen 2 und 3 nicht berücksichtigt</t>
  </si>
  <si>
    <t>Raumbelastung</t>
  </si>
  <si>
    <t>Nutzvolumen total</t>
  </si>
  <si>
    <t>Nutzvolumen des gesamten Systems</t>
  </si>
  <si>
    <r>
      <t>organische Raumbelastung B</t>
    </r>
    <r>
      <rPr>
        <b/>
        <vertAlign val="subscript"/>
        <sz val="15"/>
        <color theme="3"/>
        <rFont val="Calibri"/>
        <family val="2"/>
        <scheme val="minor"/>
      </rPr>
      <t>R</t>
    </r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</si>
  <si>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Stufe 1</t>
    </r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</si>
  <si>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Stufe 2</t>
    </r>
    <r>
      <rPr>
        <sz val="11"/>
        <color theme="1"/>
        <rFont val="Calibri"/>
        <family val="2"/>
        <scheme val="minor"/>
      </rPr>
      <t/>
    </r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</si>
  <si>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Stufe 3</t>
    </r>
    <r>
      <rPr>
        <sz val="11"/>
        <color theme="1"/>
        <rFont val="Calibri"/>
        <family val="2"/>
        <scheme val="minor"/>
      </rPr>
      <t/>
    </r>
  </si>
  <si>
    <r>
      <t>B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Gesamtsystem</t>
    </r>
  </si>
  <si>
    <t>oTS-Abbau in Stufen 2-4 nicht berücksichtigt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</si>
</sst>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"/>
    <numFmt numFmtId="165" formatCode="0.0"/>
    <numFmt numFmtId="166" formatCode="#,##0.000"/>
    <numFmt numFmtId="167" formatCode="0.0000"/>
    <numFmt numFmtId="168" formatCode="#,##0_ ;\-#,##0\ "/>
    <numFmt numFmtId="169" formatCode="#,##0.00_ ;\-#,##0.00\ "/>
    <numFmt numFmtId="170" formatCode="0.0%"/>
    <numFmt numFmtId="171" formatCode="#,##0.0"/>
    <numFmt numFmtId="172" formatCode="0.00000"/>
  </numFmts>
  <fonts count="5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9"/>
      <color rgb="FF0070C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vertAlign val="superscript"/>
      <sz val="11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 Light"/>
      <family val="2"/>
    </font>
    <font>
      <b/>
      <vertAlign val="subscript"/>
      <sz val="12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color theme="9"/>
      <name val="Calibri"/>
      <family val="2"/>
      <scheme val="minor"/>
    </font>
    <font>
      <b/>
      <vertAlign val="subscript"/>
      <sz val="13"/>
      <color theme="3"/>
      <name val="Calibri"/>
      <family val="2"/>
      <scheme val="minor"/>
    </font>
    <font>
      <sz val="11"/>
      <color rgb="FFFF0000"/>
      <name val="Calibri Light"/>
      <family val="2"/>
    </font>
    <font>
      <b/>
      <sz val="12"/>
      <color theme="3"/>
      <name val="Calibri"/>
      <family val="2"/>
      <scheme val="minor"/>
    </font>
    <font>
      <b/>
      <vertAlign val="superscript"/>
      <sz val="12"/>
      <color theme="0"/>
      <name val="Calibri Light"/>
      <family val="2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double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4" tint="0.39997558519241921"/>
      </left>
      <right/>
      <top style="double">
        <color rgb="FF3F3F3F"/>
      </top>
      <bottom/>
      <diagonal/>
    </border>
    <border>
      <left/>
      <right style="thin">
        <color theme="4" tint="0.39997558519241921"/>
      </right>
      <top style="double">
        <color rgb="FF3F3F3F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 style="thin">
        <color theme="4" tint="0.39997558519241921"/>
      </top>
      <bottom/>
      <diagonal/>
    </border>
    <border>
      <left style="thin">
        <color rgb="FF7F7F7F"/>
      </left>
      <right/>
      <top style="double">
        <color rgb="FFFF8001"/>
      </top>
      <bottom/>
      <diagonal/>
    </border>
    <border>
      <left/>
      <right/>
      <top style="double">
        <color rgb="FFFF8001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</borders>
  <cellStyleXfs count="23">
    <xf numFmtId="0" fontId="0" fillId="0" borderId="0"/>
    <xf numFmtId="0" fontId="20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6" fillId="2" borderId="3" applyNumberFormat="0" applyAlignment="0" applyProtection="0"/>
    <xf numFmtId="0" fontId="27" fillId="3" borderId="4" applyNumberFormat="0" applyAlignment="0" applyProtection="0"/>
    <xf numFmtId="0" fontId="28" fillId="3" borderId="3" applyNumberFormat="0" applyAlignment="0" applyProtection="0"/>
    <xf numFmtId="0" fontId="29" fillId="0" borderId="5" applyNumberFormat="0" applyFill="0" applyAlignment="0" applyProtection="0"/>
    <xf numFmtId="0" fontId="2" fillId="0" borderId="0" applyNumberFormat="0" applyFill="0" applyBorder="0" applyAlignment="0" applyProtection="0"/>
    <xf numFmtId="0" fontId="22" fillId="4" borderId="6" applyNumberFormat="0" applyFont="0" applyAlignment="0" applyProtection="0"/>
    <xf numFmtId="0" fontId="30" fillId="0" borderId="0" applyNumberFormat="0" applyFill="0" applyBorder="0" applyAlignment="0" applyProtection="0"/>
    <xf numFmtId="0" fontId="3" fillId="14" borderId="7" applyNumberFormat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43" fontId="22" fillId="0" borderId="0" applyFont="0" applyFill="0" applyBorder="0" applyAlignment="0" applyProtection="0"/>
    <xf numFmtId="0" fontId="24" fillId="0" borderId="2" applyNumberFormat="0" applyFill="0" applyAlignment="0" applyProtection="0"/>
    <xf numFmtId="0" fontId="26" fillId="2" borderId="3" applyNumberFormat="0" applyAlignment="0" applyProtection="0"/>
    <xf numFmtId="0" fontId="45" fillId="10" borderId="0" applyNumberFormat="0" applyBorder="0" applyAlignment="0" applyProtection="0"/>
    <xf numFmtId="0" fontId="1" fillId="11" borderId="0" applyNumberFormat="0" applyBorder="0" applyAlignment="0" applyProtection="0"/>
    <xf numFmtId="0" fontId="47" fillId="12" borderId="0" applyNumberFormat="0" applyBorder="0" applyAlignment="0" applyProtection="0"/>
    <xf numFmtId="0" fontId="46" fillId="13" borderId="0" applyNumberFormat="0" applyBorder="0" applyAlignment="0" applyProtection="0"/>
  </cellStyleXfs>
  <cellXfs count="180">
    <xf numFmtId="0" fontId="0" fillId="0" borderId="0" xfId="0"/>
    <xf numFmtId="0" fontId="3" fillId="0" borderId="0" xfId="0" applyFont="1"/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16" fillId="0" borderId="0" xfId="0" applyNumberFormat="1" applyFont="1"/>
    <xf numFmtId="0" fontId="10" fillId="0" borderId="0" xfId="0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/>
    <xf numFmtId="1" fontId="3" fillId="0" borderId="0" xfId="0" applyNumberFormat="1" applyFont="1"/>
    <xf numFmtId="165" fontId="18" fillId="0" borderId="0" xfId="0" applyNumberFormat="1" applyFont="1"/>
    <xf numFmtId="0" fontId="20" fillId="0" borderId="0" xfId="1"/>
    <xf numFmtId="164" fontId="4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15" fillId="0" borderId="0" xfId="0" applyFont="1"/>
    <xf numFmtId="0" fontId="14" fillId="0" borderId="0" xfId="0" applyFont="1" applyAlignment="1">
      <alignment horizontal="left"/>
    </xf>
    <xf numFmtId="0" fontId="23" fillId="0" borderId="1" xfId="3"/>
    <xf numFmtId="0" fontId="0" fillId="0" borderId="0" xfId="0" quotePrefix="1"/>
    <xf numFmtId="0" fontId="20" fillId="0" borderId="0" xfId="1" quotePrefix="1"/>
    <xf numFmtId="0" fontId="26" fillId="2" borderId="3" xfId="5"/>
    <xf numFmtId="0" fontId="28" fillId="3" borderId="3" xfId="7"/>
    <xf numFmtId="0" fontId="29" fillId="3" borderId="5" xfId="8" applyFill="1"/>
    <xf numFmtId="0" fontId="27" fillId="3" borderId="4" xfId="6"/>
    <xf numFmtId="0" fontId="30" fillId="0" borderId="0" xfId="11"/>
    <xf numFmtId="0" fontId="8" fillId="4" borderId="6" xfId="10" applyFont="1"/>
    <xf numFmtId="0" fontId="2" fillId="0" borderId="0" xfId="9"/>
    <xf numFmtId="3" fontId="26" fillId="2" borderId="3" xfId="5" applyNumberFormat="1"/>
    <xf numFmtId="2" fontId="26" fillId="2" borderId="3" xfId="5" applyNumberFormat="1"/>
    <xf numFmtId="165" fontId="26" fillId="2" borderId="3" xfId="5" applyNumberFormat="1"/>
    <xf numFmtId="0" fontId="8" fillId="4" borderId="6" xfId="10" applyFont="1" applyAlignment="1">
      <alignment wrapText="1"/>
    </xf>
    <xf numFmtId="0" fontId="30" fillId="0" borderId="0" xfId="11" applyAlignment="1">
      <alignment horizontal="left" wrapText="1"/>
    </xf>
    <xf numFmtId="2" fontId="28" fillId="3" borderId="3" xfId="7" applyNumberFormat="1"/>
    <xf numFmtId="1" fontId="26" fillId="2" borderId="3" xfId="5" applyNumberFormat="1"/>
    <xf numFmtId="3" fontId="28" fillId="3" borderId="3" xfId="7" applyNumberFormat="1"/>
    <xf numFmtId="0" fontId="24" fillId="0" borderId="2" xfId="4"/>
    <xf numFmtId="0" fontId="29" fillId="0" borderId="5" xfId="8"/>
    <xf numFmtId="0" fontId="4" fillId="0" borderId="0" xfId="0" applyFont="1" applyAlignment="1">
      <alignment horizontal="left"/>
    </xf>
    <xf numFmtId="0" fontId="26" fillId="2" borderId="3" xfId="5" applyAlignment="1">
      <alignment horizontal="right"/>
    </xf>
    <xf numFmtId="0" fontId="4" fillId="0" borderId="0" xfId="0" applyFont="1" applyAlignment="1">
      <alignment horizontal="right"/>
    </xf>
    <xf numFmtId="2" fontId="28" fillId="3" borderId="3" xfId="7" applyNumberFormat="1" applyAlignment="1">
      <alignment horizontal="right"/>
    </xf>
    <xf numFmtId="3" fontId="3" fillId="0" borderId="7" xfId="12" applyNumberFormat="1" applyFill="1"/>
    <xf numFmtId="0" fontId="3" fillId="14" borderId="7" xfId="12"/>
    <xf numFmtId="3" fontId="3" fillId="3" borderId="7" xfId="12" applyNumberFormat="1" applyFill="1"/>
    <xf numFmtId="0" fontId="30" fillId="0" borderId="0" xfId="11" applyFill="1"/>
    <xf numFmtId="165" fontId="3" fillId="3" borderId="7" xfId="12" applyNumberFormat="1" applyFill="1"/>
    <xf numFmtId="0" fontId="2" fillId="0" borderId="0" xfId="9" applyFill="1"/>
    <xf numFmtId="0" fontId="38" fillId="5" borderId="0" xfId="13"/>
    <xf numFmtId="0" fontId="40" fillId="7" borderId="0" xfId="15"/>
    <xf numFmtId="0" fontId="39" fillId="6" borderId="0" xfId="14"/>
    <xf numFmtId="0" fontId="3" fillId="0" borderId="8" xfId="0" applyFont="1" applyBorder="1"/>
    <xf numFmtId="0" fontId="3" fillId="8" borderId="8" xfId="0" applyFont="1" applyFill="1" applyBorder="1"/>
    <xf numFmtId="0" fontId="26" fillId="2" borderId="3" xfId="5" applyAlignment="1">
      <alignment horizontal="left"/>
    </xf>
    <xf numFmtId="0" fontId="0" fillId="4" borderId="6" xfId="10" quotePrefix="1" applyFont="1"/>
    <xf numFmtId="2" fontId="29" fillId="0" borderId="5" xfId="8" applyNumberFormat="1"/>
    <xf numFmtId="2" fontId="29" fillId="0" borderId="5" xfId="8" applyNumberFormat="1" applyFill="1"/>
    <xf numFmtId="0" fontId="26" fillId="2" borderId="3" xfId="5" applyAlignment="1" applyProtection="1">
      <alignment horizontal="left"/>
      <protection locked="0"/>
    </xf>
    <xf numFmtId="0" fontId="22" fillId="0" borderId="0" xfId="0" applyFont="1"/>
    <xf numFmtId="3" fontId="3" fillId="14" borderId="7" xfId="12" applyNumberFormat="1"/>
    <xf numFmtId="3" fontId="29" fillId="0" borderId="5" xfId="8" applyNumberFormat="1" applyFill="1"/>
    <xf numFmtId="168" fontId="26" fillId="2" borderId="3" xfId="16" applyNumberFormat="1" applyFont="1" applyFill="1" applyBorder="1"/>
    <xf numFmtId="3" fontId="29" fillId="0" borderId="5" xfId="8" applyNumberFormat="1"/>
    <xf numFmtId="169" fontId="26" fillId="2" borderId="3" xfId="16" applyNumberFormat="1" applyFont="1" applyFill="1" applyBorder="1"/>
    <xf numFmtId="9" fontId="0" fillId="4" borderId="6" xfId="10" applyNumberFormat="1" applyFont="1"/>
    <xf numFmtId="167" fontId="26" fillId="2" borderId="3" xfId="5" applyNumberFormat="1"/>
    <xf numFmtId="4" fontId="3" fillId="14" borderId="7" xfId="12" applyNumberFormat="1"/>
    <xf numFmtId="0" fontId="9" fillId="0" borderId="0" xfId="0" quotePrefix="1" applyFont="1" applyAlignment="1">
      <alignment horizontal="left" indent="1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30" fillId="0" borderId="0" xfId="11" applyFill="1" applyBorder="1" applyAlignment="1">
      <alignment horizontal="left" wrapText="1"/>
    </xf>
    <xf numFmtId="0" fontId="0" fillId="9" borderId="0" xfId="0" applyFill="1"/>
    <xf numFmtId="165" fontId="0" fillId="0" borderId="0" xfId="0" applyNumberFormat="1"/>
    <xf numFmtId="170" fontId="0" fillId="0" borderId="0" xfId="2" applyNumberFormat="1" applyFont="1"/>
    <xf numFmtId="0" fontId="30" fillId="0" borderId="0" xfId="11" applyAlignment="1"/>
    <xf numFmtId="9" fontId="0" fillId="9" borderId="0" xfId="0" applyNumberFormat="1" applyFill="1"/>
    <xf numFmtId="0" fontId="24" fillId="0" borderId="2" xfId="17"/>
    <xf numFmtId="0" fontId="29" fillId="0" borderId="5" xfId="8" applyFill="1"/>
    <xf numFmtId="0" fontId="20" fillId="0" borderId="0" xfId="1" applyAlignment="1">
      <alignment horizontal="left" indent="2"/>
    </xf>
    <xf numFmtId="0" fontId="20" fillId="0" borderId="0" xfId="1" quotePrefix="1" applyAlignment="1">
      <alignment horizontal="left" indent="2"/>
    </xf>
    <xf numFmtId="0" fontId="45" fillId="10" borderId="0" xfId="19"/>
    <xf numFmtId="0" fontId="46" fillId="13" borderId="0" xfId="22" applyAlignment="1">
      <alignment horizontal="right"/>
    </xf>
    <xf numFmtId="0" fontId="46" fillId="13" borderId="0" xfId="22"/>
    <xf numFmtId="165" fontId="46" fillId="13" borderId="0" xfId="22" applyNumberFormat="1"/>
    <xf numFmtId="2" fontId="46" fillId="13" borderId="0" xfId="22" applyNumberFormat="1"/>
    <xf numFmtId="1" fontId="46" fillId="13" borderId="0" xfId="22" applyNumberFormat="1"/>
    <xf numFmtId="9" fontId="46" fillId="13" borderId="0" xfId="22" applyNumberFormat="1"/>
    <xf numFmtId="0" fontId="47" fillId="12" borderId="0" xfId="21"/>
    <xf numFmtId="9" fontId="47" fillId="12" borderId="0" xfId="21" applyNumberFormat="1"/>
    <xf numFmtId="0" fontId="43" fillId="10" borderId="0" xfId="19" applyFont="1"/>
    <xf numFmtId="0" fontId="25" fillId="0" borderId="1" xfId="3" applyFont="1"/>
    <xf numFmtId="0" fontId="49" fillId="10" borderId="0" xfId="19" applyFont="1"/>
    <xf numFmtId="2" fontId="29" fillId="3" borderId="5" xfId="8" applyNumberFormat="1" applyFill="1"/>
    <xf numFmtId="0" fontId="49" fillId="10" borderId="0" xfId="19" quotePrefix="1" applyFont="1"/>
    <xf numFmtId="0" fontId="31" fillId="0" borderId="0" xfId="0" applyFont="1" applyAlignment="1">
      <alignment horizontal="left"/>
    </xf>
    <xf numFmtId="0" fontId="43" fillId="10" borderId="0" xfId="19" quotePrefix="1" applyFont="1"/>
    <xf numFmtId="165" fontId="28" fillId="3" borderId="3" xfId="7" applyNumberFormat="1"/>
    <xf numFmtId="0" fontId="50" fillId="0" borderId="0" xfId="0" applyFont="1" applyAlignment="1">
      <alignment horizontal="right"/>
    </xf>
    <xf numFmtId="9" fontId="28" fillId="3" borderId="3" xfId="7" applyNumberFormat="1"/>
    <xf numFmtId="9" fontId="26" fillId="2" borderId="3" xfId="2" applyFont="1" applyFill="1" applyBorder="1" applyAlignment="1">
      <alignment horizontal="right"/>
    </xf>
    <xf numFmtId="3" fontId="28" fillId="0" borderId="3" xfId="7" applyNumberFormat="1" applyFill="1" applyAlignment="1" applyProtection="1">
      <protection locked="0"/>
    </xf>
    <xf numFmtId="164" fontId="29" fillId="0" borderId="5" xfId="8" applyNumberFormat="1" applyFill="1" applyAlignment="1" applyProtection="1">
      <alignment horizontal="right"/>
      <protection locked="0"/>
    </xf>
    <xf numFmtId="166" fontId="28" fillId="0" borderId="3" xfId="7" applyNumberFormat="1" applyFill="1" applyAlignment="1" applyProtection="1">
      <protection locked="0"/>
    </xf>
    <xf numFmtId="2" fontId="29" fillId="0" borderId="5" xfId="8" applyNumberFormat="1" applyFill="1" applyAlignment="1" applyProtection="1">
      <alignment horizontal="right"/>
      <protection locked="0"/>
    </xf>
    <xf numFmtId="9" fontId="28" fillId="0" borderId="3" xfId="2" applyFont="1" applyFill="1" applyBorder="1" applyAlignment="1" applyProtection="1">
      <protection locked="0"/>
    </xf>
    <xf numFmtId="0" fontId="3" fillId="0" borderId="7" xfId="12" applyFill="1"/>
    <xf numFmtId="166" fontId="3" fillId="0" borderId="7" xfId="12" applyNumberFormat="1" applyFill="1"/>
    <xf numFmtId="4" fontId="3" fillId="0" borderId="7" xfId="12" applyNumberFormat="1" applyFill="1"/>
    <xf numFmtId="1" fontId="3" fillId="0" borderId="7" xfId="12" applyNumberFormat="1" applyFill="1"/>
    <xf numFmtId="9" fontId="3" fillId="0" borderId="7" xfId="12" applyNumberFormat="1" applyFill="1"/>
    <xf numFmtId="0" fontId="20" fillId="0" borderId="0" xfId="1" applyFill="1"/>
    <xf numFmtId="0" fontId="45" fillId="0" borderId="0" xfId="19" applyFill="1"/>
    <xf numFmtId="0" fontId="43" fillId="0" borderId="0" xfId="19" applyFont="1" applyFill="1"/>
    <xf numFmtId="3" fontId="11" fillId="0" borderId="0" xfId="0" applyNumberFormat="1" applyFont="1"/>
    <xf numFmtId="4" fontId="28" fillId="0" borderId="3" xfId="7" applyNumberFormat="1" applyFill="1" applyAlignment="1" applyProtection="1">
      <protection locked="0"/>
    </xf>
    <xf numFmtId="164" fontId="3" fillId="0" borderId="7" xfId="12" applyNumberFormat="1" applyFill="1"/>
    <xf numFmtId="1" fontId="29" fillId="0" borderId="5" xfId="8" applyNumberFormat="1" applyFill="1" applyAlignment="1" applyProtection="1">
      <alignment horizontal="right"/>
      <protection locked="0"/>
    </xf>
    <xf numFmtId="0" fontId="45" fillId="10" borderId="9" xfId="19" applyBorder="1"/>
    <xf numFmtId="0" fontId="45" fillId="10" borderId="12" xfId="19" applyBorder="1"/>
    <xf numFmtId="0" fontId="43" fillId="10" borderId="13" xfId="19" applyFont="1" applyBorder="1"/>
    <xf numFmtId="0" fontId="43" fillId="10" borderId="14" xfId="19" applyFont="1" applyBorder="1"/>
    <xf numFmtId="0" fontId="43" fillId="10" borderId="15" xfId="19" applyFont="1" applyBorder="1"/>
    <xf numFmtId="0" fontId="26" fillId="2" borderId="16" xfId="5" applyBorder="1" applyAlignment="1">
      <alignment horizontal="left"/>
    </xf>
    <xf numFmtId="3" fontId="26" fillId="2" borderId="16" xfId="5" applyNumberFormat="1" applyBorder="1"/>
    <xf numFmtId="164" fontId="28" fillId="3" borderId="16" xfId="7" applyNumberFormat="1" applyBorder="1"/>
    <xf numFmtId="3" fontId="28" fillId="3" borderId="10" xfId="7" applyNumberFormat="1" applyBorder="1"/>
    <xf numFmtId="3" fontId="26" fillId="2" borderId="20" xfId="5" applyNumberFormat="1" applyBorder="1"/>
    <xf numFmtId="164" fontId="28" fillId="3" borderId="20" xfId="7" applyNumberFormat="1" applyBorder="1"/>
    <xf numFmtId="0" fontId="45" fillId="10" borderId="11" xfId="19" applyBorder="1"/>
    <xf numFmtId="0" fontId="1" fillId="11" borderId="0" xfId="20"/>
    <xf numFmtId="9" fontId="1" fillId="11" borderId="0" xfId="2" applyFont="1" applyFill="1"/>
    <xf numFmtId="2" fontId="1" fillId="11" borderId="0" xfId="20" applyNumberFormat="1"/>
    <xf numFmtId="165" fontId="1" fillId="11" borderId="0" xfId="20" applyNumberFormat="1"/>
    <xf numFmtId="1" fontId="1" fillId="11" borderId="0" xfId="20" applyNumberFormat="1"/>
    <xf numFmtId="171" fontId="1" fillId="11" borderId="0" xfId="20" applyNumberFormat="1"/>
    <xf numFmtId="3" fontId="1" fillId="11" borderId="0" xfId="20" applyNumberFormat="1"/>
    <xf numFmtId="0" fontId="52" fillId="12" borderId="0" xfId="21" applyFont="1"/>
    <xf numFmtId="172" fontId="26" fillId="2" borderId="3" xfId="18" applyNumberFormat="1"/>
    <xf numFmtId="0" fontId="53" fillId="0" borderId="1" xfId="3" applyFont="1"/>
    <xf numFmtId="164" fontId="3" fillId="14" borderId="7" xfId="12" applyNumberFormat="1"/>
    <xf numFmtId="9" fontId="3" fillId="14" borderId="7" xfId="12" applyNumberFormat="1"/>
    <xf numFmtId="9" fontId="0" fillId="0" borderId="6" xfId="10" applyNumberFormat="1" applyFont="1" applyFill="1"/>
    <xf numFmtId="9" fontId="3" fillId="14" borderId="7" xfId="12" applyNumberFormat="1" applyAlignment="1">
      <alignment horizontal="left"/>
    </xf>
    <xf numFmtId="1" fontId="29" fillId="0" borderId="5" xfId="8" applyNumberFormat="1"/>
    <xf numFmtId="165" fontId="30" fillId="0" borderId="0" xfId="11" applyNumberFormat="1" applyFill="1"/>
    <xf numFmtId="9" fontId="30" fillId="0" borderId="0" xfId="11" applyNumberFormat="1" applyFill="1"/>
    <xf numFmtId="2" fontId="30" fillId="0" borderId="0" xfId="11" applyNumberFormat="1" applyFill="1"/>
    <xf numFmtId="165" fontId="3" fillId="14" borderId="7" xfId="12" applyNumberFormat="1"/>
    <xf numFmtId="2" fontId="3" fillId="14" borderId="7" xfId="12" applyNumberFormat="1"/>
    <xf numFmtId="171" fontId="28" fillId="0" borderId="3" xfId="7" applyNumberFormat="1" applyFill="1" applyAlignment="1" applyProtection="1">
      <protection locked="0"/>
    </xf>
    <xf numFmtId="171" fontId="3" fillId="0" borderId="7" xfId="12" applyNumberFormat="1" applyFill="1"/>
    <xf numFmtId="0" fontId="25" fillId="0" borderId="2" xfId="4" applyFont="1"/>
    <xf numFmtId="164" fontId="29" fillId="0" borderId="17" xfId="8" applyNumberFormat="1" applyFill="1" applyBorder="1"/>
    <xf numFmtId="164" fontId="29" fillId="0" borderId="14" xfId="8" applyNumberFormat="1" applyFill="1" applyBorder="1"/>
    <xf numFmtId="1" fontId="29" fillId="0" borderId="14" xfId="8" applyNumberFormat="1" applyFill="1" applyBorder="1"/>
    <xf numFmtId="2" fontId="29" fillId="0" borderId="14" xfId="8" applyNumberFormat="1" applyFill="1" applyBorder="1"/>
    <xf numFmtId="164" fontId="29" fillId="0" borderId="18" xfId="8" applyNumberFormat="1" applyFill="1" applyBorder="1"/>
    <xf numFmtId="164" fontId="29" fillId="0" borderId="19" xfId="8" applyNumberFormat="1" applyFill="1" applyBorder="1"/>
    <xf numFmtId="1" fontId="29" fillId="0" borderId="19" xfId="8" applyNumberFormat="1" applyFill="1" applyBorder="1"/>
    <xf numFmtId="2" fontId="29" fillId="0" borderId="19" xfId="8" applyNumberFormat="1" applyFill="1" applyBorder="1"/>
    <xf numFmtId="164" fontId="29" fillId="0" borderId="21" xfId="8" applyNumberFormat="1" applyFill="1" applyBorder="1"/>
    <xf numFmtId="164" fontId="29" fillId="0" borderId="22" xfId="8" applyNumberFormat="1" applyFill="1" applyBorder="1"/>
    <xf numFmtId="1" fontId="29" fillId="0" borderId="22" xfId="8" applyNumberFormat="1" applyFill="1" applyBorder="1"/>
    <xf numFmtId="2" fontId="29" fillId="0" borderId="22" xfId="8" applyNumberFormat="1" applyFill="1" applyBorder="1"/>
    <xf numFmtId="9" fontId="28" fillId="3" borderId="3" xfId="2" applyFont="1" applyFill="1" applyBorder="1"/>
    <xf numFmtId="171" fontId="26" fillId="2" borderId="3" xfId="5" applyNumberFormat="1"/>
    <xf numFmtId="164" fontId="26" fillId="2" borderId="3" xfId="5" applyNumberFormat="1"/>
    <xf numFmtId="166" fontId="28" fillId="3" borderId="3" xfId="7" applyNumberFormat="1" applyAlignment="1">
      <alignment horizontal="right"/>
    </xf>
    <xf numFmtId="171" fontId="0" fillId="0" borderId="0" xfId="0" applyNumberFormat="1"/>
    <xf numFmtId="171" fontId="3" fillId="14" borderId="7" xfId="12" applyNumberFormat="1"/>
    <xf numFmtId="165" fontId="29" fillId="0" borderId="5" xfId="8" applyNumberFormat="1" applyFill="1"/>
    <xf numFmtId="0" fontId="2" fillId="0" borderId="0" xfId="0" applyFont="1"/>
    <xf numFmtId="165" fontId="22" fillId="14" borderId="7" xfId="12" applyNumberFormat="1" applyFont="1"/>
    <xf numFmtId="165" fontId="22" fillId="0" borderId="7" xfId="12" applyNumberFormat="1" applyFont="1" applyFill="1"/>
  </cellXfs>
  <cellStyles count="23">
    <cellStyle name="20 % - Akzent1" xfId="20" builtinId="30"/>
    <cellStyle name="40 % - Akzent1" xfId="21" builtinId="31" customBuiltin="1"/>
    <cellStyle name="60 % - Akzent1" xfId="22" builtinId="32" customBuiltin="1"/>
    <cellStyle name="Akzent1" xfId="19" builtinId="29" customBuiltin="1"/>
    <cellStyle name="Ausgabe" xfId="6" builtinId="21"/>
    <cellStyle name="Berechnung" xfId="7" builtinId="22"/>
    <cellStyle name="Eingabe" xfId="5" builtinId="20"/>
    <cellStyle name="Eingabe 2" xfId="18" xr:uid="{7FF40215-2C8E-43CA-9E28-76E222193232}"/>
    <cellStyle name="Ergebnis" xfId="12" builtinId="25" customBuiltin="1"/>
    <cellStyle name="Erklärender Text" xfId="11" builtinId="53"/>
    <cellStyle name="Gut" xfId="13" builtinId="26"/>
    <cellStyle name="Komma" xfId="16" builtinId="3"/>
    <cellStyle name="Link" xfId="1" builtinId="8"/>
    <cellStyle name="Neutral" xfId="15" builtinId="28"/>
    <cellStyle name="Notiz" xfId="10" builtinId="10"/>
    <cellStyle name="Prozent" xfId="2" builtinId="5"/>
    <cellStyle name="Schlecht" xfId="14" builtinId="27"/>
    <cellStyle name="Standard" xfId="0" builtinId="0"/>
    <cellStyle name="Überschrift 1" xfId="3" builtinId="16"/>
    <cellStyle name="Überschrift 2" xfId="4" builtinId="17"/>
    <cellStyle name="Überschrift 2 2" xfId="17" xr:uid="{F1C89A76-4211-4F35-A85C-540F70677D89}"/>
    <cellStyle name="Verknüpfte Zelle" xfId="8" builtinId="24"/>
    <cellStyle name="Warnender Text" xfId="9" builtinId="1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Anteile an der Energieausbeute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59-4C63-8FE1-55A297288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59-4C63-8FE1-55A297288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59-4C63-8FE1-55A297288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59-4C63-8FE1-55A297288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059-4C63-8FE1-55A297288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059-4C63-8FE1-55A2972886A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059-4C63-8FE1-55A2972886A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59-4C63-8FE1-55A2972886A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059-4C63-8FE1-55A2972886A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059-4C63-8FE1-55A2972886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059-4C63-8FE1-55A2972886A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059-4C63-8FE1-55A2972886A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059-4C63-8FE1-55A2972886A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059-4C63-8FE1-55A2972886A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059-4C63-8FE1-55A2972886A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059-4C63-8FE1-55A2972886A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059-4C63-8FE1-55A2972886A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059-4C63-8FE1-55A2972886A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059-4C63-8FE1-55A2972886A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059-4C63-8FE1-55A2972886A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059-4C63-8FE1-55A2972886A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059-4C63-8FE1-55A2972886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Methanproduktion!$A$6:$A$27</c:f>
              <c:strCache>
                <c:ptCount val="22"/>
                <c:pt idx="0">
                  <c:v>Belebtschlamm, eingedickt</c:v>
                </c:pt>
                <c:pt idx="1">
                  <c:v>Belebtschlamm, eingedickt</c:v>
                </c:pt>
                <c:pt idx="2">
                  <c:v>Belebtschlamm, eingedickt</c:v>
                </c:pt>
                <c:pt idx="3">
                  <c:v>Belebtschlamm, eingedickt</c:v>
                </c:pt>
                <c:pt idx="4">
                  <c:v>Belebtschlamm, eingedickt</c:v>
                </c:pt>
                <c:pt idx="5">
                  <c:v>Belebtschlamm, eingedickt</c:v>
                </c:pt>
                <c:pt idx="6">
                  <c:v>Belebtschlamm, eingedickt</c:v>
                </c:pt>
                <c:pt idx="7">
                  <c:v>Belebtschlamm, eingedickt</c:v>
                </c:pt>
                <c:pt idx="8">
                  <c:v>Belebtschlamm, eingedickt</c:v>
                </c:pt>
                <c:pt idx="9">
                  <c:v>Belebtschlamm, eingedickt</c:v>
                </c:pt>
                <c:pt idx="10">
                  <c:v>Belebtschlamm, eingedickt</c:v>
                </c:pt>
                <c:pt idx="11">
                  <c:v>Belebtschlamm, eingedickt</c:v>
                </c:pt>
                <c:pt idx="12">
                  <c:v>Belebtschlamm, eingedickt</c:v>
                </c:pt>
                <c:pt idx="13">
                  <c:v>Belebtschlamm, eingedickt</c:v>
                </c:pt>
                <c:pt idx="14">
                  <c:v>Belebtschlamm, eingedickt</c:v>
                </c:pt>
                <c:pt idx="15">
                  <c:v>Belebtschlamm, eingedickt</c:v>
                </c:pt>
                <c:pt idx="16">
                  <c:v>Belebtschlamm, eingedickt</c:v>
                </c:pt>
                <c:pt idx="17">
                  <c:v>Belebtschlamm, eingedickt</c:v>
                </c:pt>
                <c:pt idx="18">
                  <c:v>Belebtschlamm, eingedickt</c:v>
                </c:pt>
                <c:pt idx="19">
                  <c:v>Belebtschlamm, eingedickt</c:v>
                </c:pt>
                <c:pt idx="20">
                  <c:v>Belebtschlamm, eingedickt</c:v>
                </c:pt>
                <c:pt idx="21">
                  <c:v>Belebtschlamm, eingedickt</c:v>
                </c:pt>
              </c:strCache>
            </c:strRef>
          </c:cat>
          <c:val>
            <c:numRef>
              <c:f>Methanproduktion!$U$6:$U$27</c:f>
              <c:numCache>
                <c:formatCode>0%</c:formatCode>
                <c:ptCount val="22"/>
                <c:pt idx="0">
                  <c:v>4.5454545454545484E-2</c:v>
                </c:pt>
                <c:pt idx="1">
                  <c:v>4.5454545454545484E-2</c:v>
                </c:pt>
                <c:pt idx="2">
                  <c:v>4.5454545454545484E-2</c:v>
                </c:pt>
                <c:pt idx="3">
                  <c:v>4.5454545454545484E-2</c:v>
                </c:pt>
                <c:pt idx="4">
                  <c:v>4.5454545454545484E-2</c:v>
                </c:pt>
                <c:pt idx="5">
                  <c:v>4.5454545454545484E-2</c:v>
                </c:pt>
                <c:pt idx="6">
                  <c:v>4.5454545454545484E-2</c:v>
                </c:pt>
                <c:pt idx="7">
                  <c:v>4.5454545454545484E-2</c:v>
                </c:pt>
                <c:pt idx="8">
                  <c:v>4.5454545454545484E-2</c:v>
                </c:pt>
                <c:pt idx="9">
                  <c:v>4.5454545454545484E-2</c:v>
                </c:pt>
                <c:pt idx="10">
                  <c:v>4.5454545454545484E-2</c:v>
                </c:pt>
                <c:pt idx="11">
                  <c:v>4.5454545454545484E-2</c:v>
                </c:pt>
                <c:pt idx="12">
                  <c:v>4.5454545454545484E-2</c:v>
                </c:pt>
                <c:pt idx="13">
                  <c:v>4.5454545454545484E-2</c:v>
                </c:pt>
                <c:pt idx="14">
                  <c:v>4.5454545454545484E-2</c:v>
                </c:pt>
                <c:pt idx="15">
                  <c:v>4.5454545454545484E-2</c:v>
                </c:pt>
                <c:pt idx="16">
                  <c:v>4.5454545454545484E-2</c:v>
                </c:pt>
                <c:pt idx="17">
                  <c:v>4.5454545454545484E-2</c:v>
                </c:pt>
                <c:pt idx="18">
                  <c:v>4.5454545454545484E-2</c:v>
                </c:pt>
                <c:pt idx="19">
                  <c:v>4.5454545454545484E-2</c:v>
                </c:pt>
                <c:pt idx="20">
                  <c:v>4.5454545454545484E-2</c:v>
                </c:pt>
                <c:pt idx="21">
                  <c:v>4.5454545454545484E-2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6059-4C63-8FE1-55A297288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#Vorgehen!A1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6" Type="http://schemas.openxmlformats.org/officeDocument/2006/relationships/image" Target="../media/image5.svg"/><Relationship Id="rId5" Type="http://schemas.openxmlformats.org/officeDocument/2006/relationships/image" Target="../media/image3.png"/><Relationship Id="rId4" Type="http://schemas.openxmlformats.org/officeDocument/2006/relationships/hyperlink" Target="#Ausgangssubstrat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#Vorgehen!A1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6" Type="http://schemas.openxmlformats.org/officeDocument/2006/relationships/image" Target="../media/image5.svg"/><Relationship Id="rId5" Type="http://schemas.openxmlformats.org/officeDocument/2006/relationships/image" Target="../media/image3.png"/><Relationship Id="rId4" Type="http://schemas.openxmlformats.org/officeDocument/2006/relationships/hyperlink" Target="#Ausgangssubstrate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hyperlink" Target="#Vorgehen!A1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6" Type="http://schemas.openxmlformats.org/officeDocument/2006/relationships/image" Target="../media/image5.svg"/><Relationship Id="rId5" Type="http://schemas.openxmlformats.org/officeDocument/2006/relationships/image" Target="../media/image3.png"/><Relationship Id="rId4" Type="http://schemas.openxmlformats.org/officeDocument/2006/relationships/hyperlink" Target="#'1. Eingabe Ausgangssubstrate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6" Type="http://schemas.openxmlformats.org/officeDocument/2006/relationships/image" Target="../media/image3.png"/><Relationship Id="rId5" Type="http://schemas.openxmlformats.org/officeDocument/2006/relationships/hyperlink" Target="#'Datenbank Substrate'!A1"/><Relationship Id="rId4" Type="http://schemas.openxmlformats.org/officeDocument/2006/relationships/hyperlink" Target="#Vorgehen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1.3.1. TS aus BSB oder TOC'!A1"/><Relationship Id="rId13" Type="http://schemas.openxmlformats.org/officeDocument/2006/relationships/hyperlink" Target="#Anlagendaten!A1"/><Relationship Id="rId3" Type="http://schemas.openxmlformats.org/officeDocument/2006/relationships/image" Target="../media/image4.svg"/><Relationship Id="rId7" Type="http://schemas.openxmlformats.org/officeDocument/2006/relationships/hyperlink" Target="#'1. Eingabe Ausgangssubstrate'!A1"/><Relationship Id="rId12" Type="http://schemas.openxmlformats.org/officeDocument/2006/relationships/hyperlink" Target="#'Kennwerte Massenfl&#252;sse'!A1"/><Relationship Id="rId17" Type="http://schemas.openxmlformats.org/officeDocument/2006/relationships/hyperlink" Target="#Grundlagen!A1"/><Relationship Id="rId2" Type="http://schemas.openxmlformats.org/officeDocument/2006/relationships/image" Target="../media/image3.png"/><Relationship Id="rId16" Type="http://schemas.openxmlformats.org/officeDocument/2006/relationships/hyperlink" Target="#'Beurteilung Kennwerte'!A1"/><Relationship Id="rId1" Type="http://schemas.openxmlformats.org/officeDocument/2006/relationships/hyperlink" Target="#Ausgangssubstrate!A1"/><Relationship Id="rId6" Type="http://schemas.openxmlformats.org/officeDocument/2006/relationships/image" Target="../media/image5.svg"/><Relationship Id="rId11" Type="http://schemas.openxmlformats.org/officeDocument/2006/relationships/hyperlink" Target="#Abbaugrad!A1"/><Relationship Id="rId5" Type="http://schemas.openxmlformats.org/officeDocument/2006/relationships/hyperlink" Target="#Legende!A1"/><Relationship Id="rId15" Type="http://schemas.openxmlformats.org/officeDocument/2006/relationships/hyperlink" Target="#'oTS aus BSB oder TOC'!A1"/><Relationship Id="rId10" Type="http://schemas.openxmlformats.org/officeDocument/2006/relationships/hyperlink" Target="#Methananteil!A1"/><Relationship Id="rId4" Type="http://schemas.openxmlformats.org/officeDocument/2006/relationships/hyperlink" Target="#Schlammmenge!A1"/><Relationship Id="rId9" Type="http://schemas.openxmlformats.org/officeDocument/2006/relationships/hyperlink" Target="#'spez. Methanertrag'!A1"/><Relationship Id="rId14" Type="http://schemas.openxmlformats.org/officeDocument/2006/relationships/hyperlink" Target="#'Eingabe Ausgangssubstrate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5" Type="http://schemas.openxmlformats.org/officeDocument/2006/relationships/image" Target="../media/image2.svg"/><Relationship Id="rId4" Type="http://schemas.openxmlformats.org/officeDocument/2006/relationships/hyperlink" Target="#Vorgehe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5" Type="http://schemas.openxmlformats.org/officeDocument/2006/relationships/chart" Target="../charts/chart1.xml"/><Relationship Id="rId4" Type="http://schemas.openxmlformats.org/officeDocument/2006/relationships/hyperlink" Target="#Vorgehen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Vorgehen Berechnungen'!A1"/><Relationship Id="rId4" Type="http://schemas.openxmlformats.org/officeDocument/2006/relationships/hyperlink" Target="#Vorgehen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Vorgehen!A1"/><Relationship Id="rId6" Type="http://schemas.openxmlformats.org/officeDocument/2006/relationships/image" Target="../media/image5.svg"/><Relationship Id="rId5" Type="http://schemas.openxmlformats.org/officeDocument/2006/relationships/image" Target="../media/image3.png"/><Relationship Id="rId4" Type="http://schemas.openxmlformats.org/officeDocument/2006/relationships/hyperlink" Target="#Ausgangssubstrat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E5759-1337-4DD6-8FBE-1C552E5D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FF412D-33B1-449F-ACAC-7B42EB881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7B11E-6A62-47D1-935E-EFFB33A88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</xdr:col>
      <xdr:colOff>57639</xdr:colOff>
      <xdr:row>30</xdr:row>
      <xdr:rowOff>12321</xdr:rowOff>
    </xdr:from>
    <xdr:to>
      <xdr:col>1</xdr:col>
      <xdr:colOff>226159</xdr:colOff>
      <xdr:row>30</xdr:row>
      <xdr:rowOff>187325</xdr:rowOff>
    </xdr:to>
    <xdr:pic>
      <xdr:nvPicPr>
        <xdr:cNvPr id="5" name="Grafik 4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A2F71E-E0BB-48E7-B3F4-67A5AAC8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6400421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6" name="Grafik 5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46340F-AAA1-4BDD-91D2-71F9805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9BDDE4-1BDE-49B9-A041-CA7F92990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</xdr:col>
      <xdr:colOff>57639</xdr:colOff>
      <xdr:row>30</xdr:row>
      <xdr:rowOff>12321</xdr:rowOff>
    </xdr:from>
    <xdr:to>
      <xdr:col>1</xdr:col>
      <xdr:colOff>226159</xdr:colOff>
      <xdr:row>30</xdr:row>
      <xdr:rowOff>187325</xdr:rowOff>
    </xdr:to>
    <xdr:pic>
      <xdr:nvPicPr>
        <xdr:cNvPr id="3" name="Grafik 2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25827-9AB4-4B46-A83A-3349C40B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896089" y="64480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B33B58-4576-4968-B88B-4BEBE2894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AE09FD-804B-4BC5-8341-2DF5C26C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</xdr:col>
      <xdr:colOff>57639</xdr:colOff>
      <xdr:row>25</xdr:row>
      <xdr:rowOff>12321</xdr:rowOff>
    </xdr:from>
    <xdr:to>
      <xdr:col>1</xdr:col>
      <xdr:colOff>226159</xdr:colOff>
      <xdr:row>25</xdr:row>
      <xdr:rowOff>187325</xdr:rowOff>
    </xdr:to>
    <xdr:pic>
      <xdr:nvPicPr>
        <xdr:cNvPr id="5" name="Grafik 4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CB01505-23B2-40AD-AE52-2656D375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905614" y="6438521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6" name="Grafik 5" descr="Zurück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B1F5665-A3EE-4F78-8F35-3A5C2876A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6C1BC-786A-464A-9BA2-373E2632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6" name="Grafik 5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50DFC-F73E-4743-93B7-0A34BCD8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8" name="Grafik 7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018781-BD0C-4187-BF06-717391A14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</xdr:col>
      <xdr:colOff>57639</xdr:colOff>
      <xdr:row>30</xdr:row>
      <xdr:rowOff>12321</xdr:rowOff>
    </xdr:from>
    <xdr:to>
      <xdr:col>1</xdr:col>
      <xdr:colOff>226159</xdr:colOff>
      <xdr:row>30</xdr:row>
      <xdr:rowOff>187325</xdr:rowOff>
    </xdr:to>
    <xdr:pic>
      <xdr:nvPicPr>
        <xdr:cNvPr id="5" name="Grafik 4" descr="Zurück RN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3BA7104-3B2A-4769-8F0B-BDBFB93F3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010264" y="5333621"/>
          <a:ext cx="168520" cy="1686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5F608-CDBB-4365-99DE-23D5BBF2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5EE545-CF3F-4236-B537-BEAE2199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DD063-72C4-4FF8-87E4-CA9AE8CC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B014CC-668A-4EFE-B11E-E38B97637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C65E1-32E7-4F21-BD45-B9D3D6A5A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857F1E-BEB4-48C0-815D-DFF67DFA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71F2C-229E-49E7-A36C-EDE9F255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17682-3558-4FDE-AA18-4D354725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57639</xdr:colOff>
      <xdr:row>7</xdr:row>
      <xdr:rowOff>12321</xdr:rowOff>
    </xdr:from>
    <xdr:to>
      <xdr:col>0</xdr:col>
      <xdr:colOff>226159</xdr:colOff>
      <xdr:row>7</xdr:row>
      <xdr:rowOff>187325</xdr:rowOff>
    </xdr:to>
    <xdr:pic>
      <xdr:nvPicPr>
        <xdr:cNvPr id="3" name="Grafik 2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97669-6586-4826-9C24-9F78FD0AC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86331" y="810956"/>
          <a:ext cx="168520" cy="17500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8</xdr:row>
      <xdr:rowOff>12321</xdr:rowOff>
    </xdr:from>
    <xdr:to>
      <xdr:col>0</xdr:col>
      <xdr:colOff>226159</xdr:colOff>
      <xdr:row>9</xdr:row>
      <xdr:rowOff>0</xdr:rowOff>
    </xdr:to>
    <xdr:pic>
      <xdr:nvPicPr>
        <xdr:cNvPr id="5" name="Grafik 4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8058EB-C4A7-43BA-AA11-6A128F68F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86331" y="1001456"/>
          <a:ext cx="168520" cy="170852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</xdr:row>
      <xdr:rowOff>12321</xdr:rowOff>
    </xdr:from>
    <xdr:to>
      <xdr:col>0</xdr:col>
      <xdr:colOff>226159</xdr:colOff>
      <xdr:row>1</xdr:row>
      <xdr:rowOff>187325</xdr:rowOff>
    </xdr:to>
    <xdr:pic>
      <xdr:nvPicPr>
        <xdr:cNvPr id="31" name="Grafik 30" descr="Zurück RN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6D03D3-BF5B-440F-92CF-48E24F61C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68763"/>
          <a:ext cx="168520" cy="17500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10</xdr:row>
      <xdr:rowOff>12321</xdr:rowOff>
    </xdr:from>
    <xdr:to>
      <xdr:col>0</xdr:col>
      <xdr:colOff>226159</xdr:colOff>
      <xdr:row>10</xdr:row>
      <xdr:rowOff>187325</xdr:rowOff>
    </xdr:to>
    <xdr:pic>
      <xdr:nvPicPr>
        <xdr:cNvPr id="32" name="Grafik 31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895049-0BB9-47AB-ABE0-F82D7D3E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807781"/>
          <a:ext cx="168520" cy="178179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33" name="Grafik 32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22D9B63-0CBC-462F-A422-D31F8A47D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1364627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14</xdr:row>
      <xdr:rowOff>12321</xdr:rowOff>
    </xdr:from>
    <xdr:to>
      <xdr:col>0</xdr:col>
      <xdr:colOff>226159</xdr:colOff>
      <xdr:row>14</xdr:row>
      <xdr:rowOff>187325</xdr:rowOff>
    </xdr:to>
    <xdr:pic>
      <xdr:nvPicPr>
        <xdr:cNvPr id="35" name="Grafik 34" descr="Zurück RN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21D3857-A57C-4E7D-B681-E61545D2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1730973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15</xdr:row>
      <xdr:rowOff>12321</xdr:rowOff>
    </xdr:from>
    <xdr:to>
      <xdr:col>0</xdr:col>
      <xdr:colOff>226159</xdr:colOff>
      <xdr:row>15</xdr:row>
      <xdr:rowOff>187325</xdr:rowOff>
    </xdr:to>
    <xdr:pic>
      <xdr:nvPicPr>
        <xdr:cNvPr id="37" name="Grafik 36" descr="Zurück RNL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BBBCFC-23A9-4B91-8668-6FBFBB91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19</xdr:row>
      <xdr:rowOff>12321</xdr:rowOff>
    </xdr:from>
    <xdr:to>
      <xdr:col>0</xdr:col>
      <xdr:colOff>226159</xdr:colOff>
      <xdr:row>19</xdr:row>
      <xdr:rowOff>187325</xdr:rowOff>
    </xdr:to>
    <xdr:pic>
      <xdr:nvPicPr>
        <xdr:cNvPr id="39" name="Grafik 38" descr="Zurück RNL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1C31924-43B5-447F-B2D4-93595156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280492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20</xdr:row>
      <xdr:rowOff>12321</xdr:rowOff>
    </xdr:from>
    <xdr:to>
      <xdr:col>0</xdr:col>
      <xdr:colOff>226159</xdr:colOff>
      <xdr:row>20</xdr:row>
      <xdr:rowOff>187325</xdr:rowOff>
    </xdr:to>
    <xdr:pic>
      <xdr:nvPicPr>
        <xdr:cNvPr id="40" name="Grafik 39" descr="Zurück RNL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4C1D1C8-017F-4AD6-A786-C2FCC613B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64683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41" name="Grafik 40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6E712A1-8A22-4E33-A53D-00CD43B60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280492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21</xdr:row>
      <xdr:rowOff>12321</xdr:rowOff>
    </xdr:from>
    <xdr:to>
      <xdr:col>0</xdr:col>
      <xdr:colOff>226159</xdr:colOff>
      <xdr:row>21</xdr:row>
      <xdr:rowOff>187325</xdr:rowOff>
    </xdr:to>
    <xdr:pic>
      <xdr:nvPicPr>
        <xdr:cNvPr id="42" name="Grafik 41" descr="Zurück RN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11F3F01-DD02-4259-8952-03666910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830011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25</xdr:row>
      <xdr:rowOff>12321</xdr:rowOff>
    </xdr:from>
    <xdr:to>
      <xdr:col>0</xdr:col>
      <xdr:colOff>226159</xdr:colOff>
      <xdr:row>25</xdr:row>
      <xdr:rowOff>187325</xdr:rowOff>
    </xdr:to>
    <xdr:pic>
      <xdr:nvPicPr>
        <xdr:cNvPr id="43" name="Grafik 42" descr="Zurück RNL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9F6B67A-9203-4C96-A911-4800DC68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3013184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4</xdr:row>
      <xdr:rowOff>12321</xdr:rowOff>
    </xdr:from>
    <xdr:to>
      <xdr:col>0</xdr:col>
      <xdr:colOff>226159</xdr:colOff>
      <xdr:row>4</xdr:row>
      <xdr:rowOff>187325</xdr:rowOff>
    </xdr:to>
    <xdr:pic>
      <xdr:nvPicPr>
        <xdr:cNvPr id="44" name="Grafik 43" descr="Zurück RN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4580D2A-CE8F-46F5-A864-C7348B69E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265588"/>
          <a:ext cx="168520" cy="178179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10</xdr:row>
      <xdr:rowOff>12321</xdr:rowOff>
    </xdr:from>
    <xdr:to>
      <xdr:col>0</xdr:col>
      <xdr:colOff>226159</xdr:colOff>
      <xdr:row>10</xdr:row>
      <xdr:rowOff>187325</xdr:rowOff>
    </xdr:to>
    <xdr:pic>
      <xdr:nvPicPr>
        <xdr:cNvPr id="46" name="Grafik 45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4C575AB-890A-44CE-B825-C22CE2BBF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886331" y="1349973"/>
          <a:ext cx="168520" cy="178179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49" name="Grafik 48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CBFFC5-19BA-49C6-8A01-C6FEF896C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50" name="Grafik 49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9C7529-3863-4EC2-9901-B4AA8BC9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14</xdr:row>
      <xdr:rowOff>12321</xdr:rowOff>
    </xdr:from>
    <xdr:to>
      <xdr:col>0</xdr:col>
      <xdr:colOff>226159</xdr:colOff>
      <xdr:row>14</xdr:row>
      <xdr:rowOff>187325</xdr:rowOff>
    </xdr:to>
    <xdr:pic>
      <xdr:nvPicPr>
        <xdr:cNvPr id="53" name="Grafik 52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6E3840-85B4-45FE-8DFA-483318A8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14</xdr:row>
      <xdr:rowOff>12321</xdr:rowOff>
    </xdr:from>
    <xdr:to>
      <xdr:col>0</xdr:col>
      <xdr:colOff>226159</xdr:colOff>
      <xdr:row>14</xdr:row>
      <xdr:rowOff>187325</xdr:rowOff>
    </xdr:to>
    <xdr:pic>
      <xdr:nvPicPr>
        <xdr:cNvPr id="54" name="Grafik 53" descr="Zurück RN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12E928B-1AFE-4FB2-81B6-F27D3E9F7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15</xdr:row>
      <xdr:rowOff>12321</xdr:rowOff>
    </xdr:from>
    <xdr:to>
      <xdr:col>0</xdr:col>
      <xdr:colOff>226159</xdr:colOff>
      <xdr:row>15</xdr:row>
      <xdr:rowOff>187325</xdr:rowOff>
    </xdr:to>
    <xdr:pic>
      <xdr:nvPicPr>
        <xdr:cNvPr id="55" name="Grafik 54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559BAC-6632-477E-B66B-70F3A898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15</xdr:row>
      <xdr:rowOff>12321</xdr:rowOff>
    </xdr:from>
    <xdr:to>
      <xdr:col>0</xdr:col>
      <xdr:colOff>226159</xdr:colOff>
      <xdr:row>15</xdr:row>
      <xdr:rowOff>187325</xdr:rowOff>
    </xdr:to>
    <xdr:pic>
      <xdr:nvPicPr>
        <xdr:cNvPr id="56" name="Grafik 55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447CA-634E-4CF8-93BF-4EC1F308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59" name="Grafik 58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E696B6-D6DD-4224-AF18-FB6117F49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60" name="Grafik 59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CC1FD1C-254B-4269-A966-99E1E7F8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1906819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26</xdr:row>
      <xdr:rowOff>12321</xdr:rowOff>
    </xdr:from>
    <xdr:to>
      <xdr:col>0</xdr:col>
      <xdr:colOff>226159</xdr:colOff>
      <xdr:row>26</xdr:row>
      <xdr:rowOff>187325</xdr:rowOff>
    </xdr:to>
    <xdr:pic>
      <xdr:nvPicPr>
        <xdr:cNvPr id="63" name="Grafik 62" descr="Zurück RN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1743F0B-3200-4F4F-988A-4F9088A4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0754" y="4178165"/>
          <a:ext cx="168520" cy="178179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10</xdr:row>
      <xdr:rowOff>12321</xdr:rowOff>
    </xdr:from>
    <xdr:to>
      <xdr:col>0</xdr:col>
      <xdr:colOff>226159</xdr:colOff>
      <xdr:row>10</xdr:row>
      <xdr:rowOff>187325</xdr:rowOff>
    </xdr:to>
    <xdr:pic>
      <xdr:nvPicPr>
        <xdr:cNvPr id="61" name="Grafik 60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077426-3C77-421E-ACA9-5B65A6139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717693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10</xdr:row>
      <xdr:rowOff>12321</xdr:rowOff>
    </xdr:from>
    <xdr:to>
      <xdr:col>0</xdr:col>
      <xdr:colOff>226159</xdr:colOff>
      <xdr:row>10</xdr:row>
      <xdr:rowOff>187325</xdr:rowOff>
    </xdr:to>
    <xdr:pic>
      <xdr:nvPicPr>
        <xdr:cNvPr id="62" name="Grafik 61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6346B-C716-45D9-B5C1-1095078CC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717693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69" name="Grafik 68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EF75D78-6F96-4AD8-BDEC-74C9C7D6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896287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70" name="Grafik 69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B51537D-DFBB-4F96-903D-4BAE63922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896287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71" name="Grafik 70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EBB122-F553-418D-B611-389439352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896287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11</xdr:row>
      <xdr:rowOff>12321</xdr:rowOff>
    </xdr:from>
    <xdr:to>
      <xdr:col>0</xdr:col>
      <xdr:colOff>226159</xdr:colOff>
      <xdr:row>11</xdr:row>
      <xdr:rowOff>187325</xdr:rowOff>
    </xdr:to>
    <xdr:pic>
      <xdr:nvPicPr>
        <xdr:cNvPr id="72" name="Grafik 71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B47D8-1FB1-482E-9EF1-C2357942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896287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10</xdr:row>
      <xdr:rowOff>12321</xdr:rowOff>
    </xdr:from>
    <xdr:to>
      <xdr:col>0</xdr:col>
      <xdr:colOff>226159</xdr:colOff>
      <xdr:row>10</xdr:row>
      <xdr:rowOff>187325</xdr:rowOff>
    </xdr:to>
    <xdr:pic>
      <xdr:nvPicPr>
        <xdr:cNvPr id="78" name="Grafik 77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2DC55-AB5D-46A4-BAA3-5A7AC65CD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1348599"/>
          <a:ext cx="168520" cy="178179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3" name="Grafik 82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6A6A31F-8F21-4834-A518-50806A26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4" name="Grafik 83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657E49D-8BDF-4A81-A587-F6C88C0E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5" name="Grafik 84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4DAFA03-7F35-4812-AADA-269DC61AE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6" name="Grafik 85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14410E7-4B3B-485D-BD84-65FE1A99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7" name="Grafik 86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86BB9B-F466-47B1-8603-B0D220E2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8" name="Grafik 87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BDD2F0-AF0E-4228-B0E3-FAF164128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18</xdr:row>
      <xdr:rowOff>12321</xdr:rowOff>
    </xdr:from>
    <xdr:to>
      <xdr:col>0</xdr:col>
      <xdr:colOff>226159</xdr:colOff>
      <xdr:row>18</xdr:row>
      <xdr:rowOff>187325</xdr:rowOff>
    </xdr:to>
    <xdr:pic>
      <xdr:nvPicPr>
        <xdr:cNvPr id="89" name="Grafik 88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6E385-C546-4869-9376-13FF8599F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641670" y="2789255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13</xdr:row>
      <xdr:rowOff>12321</xdr:rowOff>
    </xdr:from>
    <xdr:to>
      <xdr:col>0</xdr:col>
      <xdr:colOff>226159</xdr:colOff>
      <xdr:row>13</xdr:row>
      <xdr:rowOff>187325</xdr:rowOff>
    </xdr:to>
    <xdr:pic>
      <xdr:nvPicPr>
        <xdr:cNvPr id="100" name="Grafik 99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E507DC-47EE-45F6-885A-5AEEF9B52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13</xdr:row>
      <xdr:rowOff>12321</xdr:rowOff>
    </xdr:from>
    <xdr:to>
      <xdr:col>0</xdr:col>
      <xdr:colOff>226159</xdr:colOff>
      <xdr:row>13</xdr:row>
      <xdr:rowOff>187325</xdr:rowOff>
    </xdr:to>
    <xdr:pic>
      <xdr:nvPicPr>
        <xdr:cNvPr id="101" name="Grafik 100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46CC49A-2A59-417A-8BA7-745B22D6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13</xdr:row>
      <xdr:rowOff>12321</xdr:rowOff>
    </xdr:from>
    <xdr:to>
      <xdr:col>0</xdr:col>
      <xdr:colOff>226159</xdr:colOff>
      <xdr:row>13</xdr:row>
      <xdr:rowOff>187325</xdr:rowOff>
    </xdr:to>
    <xdr:pic>
      <xdr:nvPicPr>
        <xdr:cNvPr id="102" name="Grafik 101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9CEB91-77BA-4DBC-B11C-5197A802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13</xdr:row>
      <xdr:rowOff>12321</xdr:rowOff>
    </xdr:from>
    <xdr:to>
      <xdr:col>0</xdr:col>
      <xdr:colOff>226159</xdr:colOff>
      <xdr:row>13</xdr:row>
      <xdr:rowOff>187325</xdr:rowOff>
    </xdr:to>
    <xdr:pic>
      <xdr:nvPicPr>
        <xdr:cNvPr id="103" name="Grafik 102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EC8F9C-F569-4F12-BD87-235DEEA6D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13</xdr:row>
      <xdr:rowOff>12321</xdr:rowOff>
    </xdr:from>
    <xdr:to>
      <xdr:col>0</xdr:col>
      <xdr:colOff>226159</xdr:colOff>
      <xdr:row>13</xdr:row>
      <xdr:rowOff>187325</xdr:rowOff>
    </xdr:to>
    <xdr:pic>
      <xdr:nvPicPr>
        <xdr:cNvPr id="104" name="Grafik 103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9889E-E72A-4C80-98E6-61B8AE48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1914146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17</xdr:row>
      <xdr:rowOff>12321</xdr:rowOff>
    </xdr:from>
    <xdr:to>
      <xdr:col>0</xdr:col>
      <xdr:colOff>226159</xdr:colOff>
      <xdr:row>17</xdr:row>
      <xdr:rowOff>187325</xdr:rowOff>
    </xdr:to>
    <xdr:pic>
      <xdr:nvPicPr>
        <xdr:cNvPr id="105" name="Grafik 104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F59B55-D90D-4C6B-B0E4-F4A710EA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246079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17</xdr:row>
      <xdr:rowOff>12321</xdr:rowOff>
    </xdr:from>
    <xdr:to>
      <xdr:col>0</xdr:col>
      <xdr:colOff>226159</xdr:colOff>
      <xdr:row>17</xdr:row>
      <xdr:rowOff>187325</xdr:rowOff>
    </xdr:to>
    <xdr:pic>
      <xdr:nvPicPr>
        <xdr:cNvPr id="106" name="Grafik 105" descr="Zurück RN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D88DC05-7CC6-4FFC-A264-AD8CF5ADC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246079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17</xdr:row>
      <xdr:rowOff>12321</xdr:rowOff>
    </xdr:from>
    <xdr:to>
      <xdr:col>0</xdr:col>
      <xdr:colOff>226159</xdr:colOff>
      <xdr:row>17</xdr:row>
      <xdr:rowOff>187325</xdr:rowOff>
    </xdr:to>
    <xdr:pic>
      <xdr:nvPicPr>
        <xdr:cNvPr id="107" name="Grafik 106" descr="Zurück RNL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E8E6E4E-0C1C-43B6-B7A6-C8103BF8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246079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17</xdr:row>
      <xdr:rowOff>12321</xdr:rowOff>
    </xdr:from>
    <xdr:to>
      <xdr:col>0</xdr:col>
      <xdr:colOff>226159</xdr:colOff>
      <xdr:row>17</xdr:row>
      <xdr:rowOff>187325</xdr:rowOff>
    </xdr:to>
    <xdr:pic>
      <xdr:nvPicPr>
        <xdr:cNvPr id="108" name="Grafik 107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A7D94-699C-4654-8255-A7953718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246079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17</xdr:row>
      <xdr:rowOff>12321</xdr:rowOff>
    </xdr:from>
    <xdr:to>
      <xdr:col>0</xdr:col>
      <xdr:colOff>226159</xdr:colOff>
      <xdr:row>17</xdr:row>
      <xdr:rowOff>187325</xdr:rowOff>
    </xdr:to>
    <xdr:pic>
      <xdr:nvPicPr>
        <xdr:cNvPr id="109" name="Grafik 108" descr="Zurück R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30921A-64EB-464F-B974-0B363F126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2460798"/>
          <a:ext cx="168520" cy="168654"/>
        </a:xfrm>
        <a:prstGeom prst="rect">
          <a:avLst/>
        </a:prstGeom>
      </xdr:spPr>
    </xdr:pic>
    <xdr:clientData/>
  </xdr:twoCellAnchor>
  <xdr:twoCellAnchor>
    <xdr:from>
      <xdr:col>0</xdr:col>
      <xdr:colOff>57639</xdr:colOff>
      <xdr:row>24</xdr:row>
      <xdr:rowOff>12321</xdr:rowOff>
    </xdr:from>
    <xdr:to>
      <xdr:col>0</xdr:col>
      <xdr:colOff>226159</xdr:colOff>
      <xdr:row>24</xdr:row>
      <xdr:rowOff>187325</xdr:rowOff>
    </xdr:to>
    <xdr:pic>
      <xdr:nvPicPr>
        <xdr:cNvPr id="110" name="Grafik 109" descr="Zurück RNL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FDCA7DF-9C42-44E8-B5EA-873ACF560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639" y="4788211"/>
          <a:ext cx="168520" cy="1781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39F31F-B7F3-45C0-ACB5-C8457033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1BE0EB-21D4-469C-9429-2184D6B6A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D86669-0CBE-466C-8C49-A57C1BC35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7235" y="0"/>
          <a:ext cx="541058" cy="541058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B77E1A-66B7-457E-B83F-A801BB38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3EAF9-937D-47AC-A6EC-76199D727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EDAEB3-0588-4D40-BFD8-FA9E4487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10</xdr:col>
      <xdr:colOff>112672</xdr:colOff>
      <xdr:row>33</xdr:row>
      <xdr:rowOff>186099</xdr:rowOff>
    </xdr:from>
    <xdr:to>
      <xdr:col>16</xdr:col>
      <xdr:colOff>459681</xdr:colOff>
      <xdr:row>57</xdr:row>
      <xdr:rowOff>148905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DF1D9856-4F0C-4BCE-8E53-1CDE5D5C5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7C0B7-D20E-498F-9608-5750EB13B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56C244-2F53-4FC4-BB3A-ADD812CC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2B217-DB27-49D5-97D3-A4890F48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4" name="Grafik 3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81650-5153-4D45-A6D9-FF89CA2CB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5" name="Grafik 4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744AD8-38FA-4452-949A-FFD8FFAE8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2" name="Grafik 1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BD225-C0F0-442A-B603-82965A375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3529BD-2398-4900-AB78-CA0CA9880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0</xdr:rowOff>
    </xdr:from>
    <xdr:to>
      <xdr:col>0</xdr:col>
      <xdr:colOff>608293</xdr:colOff>
      <xdr:row>0</xdr:row>
      <xdr:rowOff>541058</xdr:rowOff>
    </xdr:to>
    <xdr:pic>
      <xdr:nvPicPr>
        <xdr:cNvPr id="3" name="Grafik 2" descr="Zurüc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F739C4-4BD4-41E5-84E5-4F9FE9A6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4060" y="0"/>
          <a:ext cx="544233" cy="544233"/>
        </a:xfrm>
        <a:prstGeom prst="rect">
          <a:avLst/>
        </a:prstGeom>
      </xdr:spPr>
    </xdr:pic>
    <xdr:clientData/>
  </xdr:twoCellAnchor>
  <xdr:twoCellAnchor>
    <xdr:from>
      <xdr:col>1</xdr:col>
      <xdr:colOff>57639</xdr:colOff>
      <xdr:row>11</xdr:row>
      <xdr:rowOff>12321</xdr:rowOff>
    </xdr:from>
    <xdr:to>
      <xdr:col>1</xdr:col>
      <xdr:colOff>226159</xdr:colOff>
      <xdr:row>11</xdr:row>
      <xdr:rowOff>187325</xdr:rowOff>
    </xdr:to>
    <xdr:pic>
      <xdr:nvPicPr>
        <xdr:cNvPr id="4" name="Grafik 3" descr="Zurück RN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A6A4AA-1441-4FF0-8FED-6580C4403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896089" y="6438521"/>
          <a:ext cx="168520" cy="168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phyllis.nl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hyllis.nl/" TargetMode="External"/><Relationship Id="rId2" Type="http://schemas.openxmlformats.org/officeDocument/2006/relationships/hyperlink" Target="http://methane.fe.uni-lj.si/" TargetMode="External"/><Relationship Id="rId1" Type="http://schemas.openxmlformats.org/officeDocument/2006/relationships/hyperlink" Target="https://phyllis.nl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97B72-4542-481D-BE02-46536476E685}">
  <sheetPr>
    <tabColor theme="5"/>
  </sheetPr>
  <dimension ref="A1:G18"/>
  <sheetViews>
    <sheetView tabSelected="1" zoomScaleNormal="100" zoomScalePageLayoutView="57" workbookViewId="0">
      <pane ySplit="2" topLeftCell="A6" activePane="bottomLeft" state="frozen"/>
      <selection pane="bottomLeft" activeCell="A9" sqref="A9"/>
    </sheetView>
  </sheetViews>
  <sheetFormatPr defaultColWidth="11.42578125" defaultRowHeight="15"/>
  <cols>
    <col min="1" max="1" width="14.5703125" customWidth="1"/>
    <col min="2" max="2" width="3.85546875" customWidth="1"/>
    <col min="3" max="3" width="9" customWidth="1"/>
    <col min="4" max="4" width="24.42578125" bestFit="1" customWidth="1"/>
    <col min="5" max="8" width="14.5703125" customWidth="1"/>
  </cols>
  <sheetData>
    <row r="1" spans="1:7" ht="45" customHeight="1">
      <c r="A1" s="26"/>
      <c r="C1" s="20"/>
      <c r="D1" s="20"/>
      <c r="E1" s="4"/>
      <c r="F1" s="20"/>
      <c r="G1" s="3"/>
    </row>
    <row r="2" spans="1:7" ht="20.25" thickBot="1">
      <c r="A2" s="24" t="s">
        <v>0</v>
      </c>
      <c r="B2" s="24"/>
      <c r="C2" s="24"/>
      <c r="D2" s="24"/>
    </row>
    <row r="3" spans="1:7" ht="15.75" thickTop="1"/>
    <row r="4" spans="1:7" ht="18.75" customHeight="1" thickBot="1">
      <c r="A4" s="42" t="s">
        <v>1</v>
      </c>
      <c r="C4" s="42" t="s">
        <v>2</v>
      </c>
      <c r="D4" s="42"/>
    </row>
    <row r="5" spans="1:7" ht="18.75" customHeight="1" thickTop="1"/>
    <row r="6" spans="1:7" ht="18.75" customHeight="1">
      <c r="A6" s="27" t="s">
        <v>3</v>
      </c>
      <c r="C6" s="14" t="s">
        <v>4</v>
      </c>
      <c r="D6" t="s">
        <v>5</v>
      </c>
    </row>
    <row r="7" spans="1:7" ht="18.75" customHeight="1">
      <c r="A7" s="28" t="s">
        <v>6</v>
      </c>
      <c r="B7" s="13"/>
      <c r="C7" s="14" t="s">
        <v>7</v>
      </c>
      <c r="D7" t="s">
        <v>8</v>
      </c>
    </row>
    <row r="8" spans="1:7" ht="18.75" customHeight="1">
      <c r="A8" s="30" t="s">
        <v>9</v>
      </c>
      <c r="B8" s="13"/>
      <c r="C8" s="14" t="s">
        <v>10</v>
      </c>
      <c r="D8" t="s">
        <v>11</v>
      </c>
    </row>
    <row r="9" spans="1:7" ht="18.75" customHeight="1" thickBot="1">
      <c r="A9" s="29" t="s">
        <v>12</v>
      </c>
      <c r="B9" s="13"/>
      <c r="C9" s="14" t="s">
        <v>13</v>
      </c>
      <c r="D9" t="s">
        <v>14</v>
      </c>
    </row>
    <row r="10" spans="1:7" ht="18.75" customHeight="1" thickTop="1">
      <c r="A10" s="19" t="s">
        <v>15</v>
      </c>
      <c r="B10" s="17"/>
      <c r="C10" s="14" t="s">
        <v>16</v>
      </c>
      <c r="D10" t="s">
        <v>17</v>
      </c>
    </row>
    <row r="11" spans="1:7" ht="18.75" customHeight="1">
      <c r="A11" s="31" t="s">
        <v>18</v>
      </c>
      <c r="B11" s="18"/>
      <c r="C11" s="14" t="s">
        <v>19</v>
      </c>
      <c r="D11" t="s">
        <v>20</v>
      </c>
    </row>
    <row r="12" spans="1:7" ht="18.75" customHeight="1">
      <c r="A12" s="33" t="s">
        <v>21</v>
      </c>
      <c r="B12" s="17"/>
      <c r="C12" s="14" t="s">
        <v>22</v>
      </c>
      <c r="D12" t="s">
        <v>23</v>
      </c>
    </row>
    <row r="13" spans="1:7" ht="18.75" customHeight="1">
      <c r="A13" s="32" t="s">
        <v>24</v>
      </c>
      <c r="B13" s="17"/>
      <c r="C13" s="14" t="s">
        <v>25</v>
      </c>
      <c r="D13" t="s">
        <v>26</v>
      </c>
    </row>
    <row r="14" spans="1:7" ht="18.75" customHeight="1" thickBot="1">
      <c r="A14" s="49" t="s">
        <v>27</v>
      </c>
      <c r="C14" s="14" t="s">
        <v>28</v>
      </c>
      <c r="D14" t="s">
        <v>29</v>
      </c>
    </row>
    <row r="15" spans="1:7" ht="18.75" customHeight="1" thickTop="1">
      <c r="A15" s="54" t="s">
        <v>30</v>
      </c>
      <c r="C15" s="14" t="s">
        <v>31</v>
      </c>
      <c r="D15" t="s">
        <v>32</v>
      </c>
    </row>
    <row r="16" spans="1:7" ht="18.75" customHeight="1">
      <c r="A16" s="55" t="s">
        <v>33</v>
      </c>
      <c r="B16" s="2"/>
      <c r="C16" s="14" t="s">
        <v>34</v>
      </c>
      <c r="D16" t="s">
        <v>35</v>
      </c>
    </row>
    <row r="17" spans="1:4" ht="18.75" customHeight="1">
      <c r="A17" s="56" t="s">
        <v>36</v>
      </c>
      <c r="B17" s="2"/>
      <c r="C17" s="14" t="s">
        <v>37</v>
      </c>
      <c r="D17" t="s">
        <v>38</v>
      </c>
    </row>
    <row r="18" spans="1:4" ht="18.75" customHeight="1">
      <c r="B18" s="3"/>
      <c r="C18" s="14"/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D15D-F50B-4953-AF0D-5BC079291B2F}">
  <sheetPr>
    <tabColor theme="7" tint="0.59999389629810485"/>
  </sheetPr>
  <dimension ref="A1:J31"/>
  <sheetViews>
    <sheetView zoomScaleNormal="100" workbookViewId="0">
      <pane xSplit="1" ySplit="7" topLeftCell="B29" activePane="bottomRight" state="frozen"/>
      <selection pane="bottomRight" activeCell="A34" sqref="A34"/>
      <selection pane="bottomLeft" activeCell="A8" sqref="A8"/>
      <selection pane="topRight" activeCell="B1" sqref="B1"/>
    </sheetView>
  </sheetViews>
  <sheetFormatPr defaultColWidth="11.42578125" defaultRowHeight="15"/>
  <cols>
    <col min="1" max="1" width="40.5703125" customWidth="1"/>
    <col min="2" max="3" width="13.85546875" customWidth="1"/>
    <col min="4" max="4" width="2.85546875" customWidth="1"/>
    <col min="5" max="6" width="13.85546875" customWidth="1"/>
    <col min="7" max="7" width="2.85546875" customWidth="1"/>
    <col min="8" max="10" width="13.85546875" customWidth="1"/>
  </cols>
  <sheetData>
    <row r="1" spans="1:10" ht="45" customHeight="1">
      <c r="A1" s="26"/>
      <c r="C1" s="20"/>
      <c r="D1" s="20"/>
      <c r="E1" s="6"/>
      <c r="F1" s="4"/>
      <c r="G1" s="20"/>
      <c r="H1" s="3"/>
    </row>
    <row r="2" spans="1:10" ht="20.25" thickBot="1">
      <c r="A2" s="24" t="s">
        <v>467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Top="1"/>
    <row r="4" spans="1:10" ht="18" thickBot="1">
      <c r="A4" s="42"/>
      <c r="B4" s="42" t="s">
        <v>468</v>
      </c>
      <c r="C4" s="42"/>
      <c r="D4" s="42"/>
      <c r="E4" s="42" t="s">
        <v>469</v>
      </c>
      <c r="F4" s="42"/>
      <c r="G4" s="42"/>
      <c r="H4" s="42" t="s">
        <v>470</v>
      </c>
      <c r="I4" s="42"/>
      <c r="J4" s="42"/>
    </row>
    <row r="5" spans="1:10" ht="15.75" thickTop="1"/>
    <row r="6" spans="1:10" ht="18">
      <c r="A6" s="86" t="s">
        <v>201</v>
      </c>
      <c r="B6" s="86" t="s">
        <v>471</v>
      </c>
      <c r="C6" s="86" t="s">
        <v>472</v>
      </c>
      <c r="E6" s="86" t="s">
        <v>473</v>
      </c>
      <c r="F6" s="86" t="s">
        <v>474</v>
      </c>
      <c r="H6" s="86" t="s">
        <v>475</v>
      </c>
      <c r="I6" s="86" t="s">
        <v>476</v>
      </c>
      <c r="J6" s="86" t="s">
        <v>445</v>
      </c>
    </row>
    <row r="7" spans="1:10" s="64" customFormat="1" ht="17.25">
      <c r="A7" s="95"/>
      <c r="B7" s="95" t="s">
        <v>477</v>
      </c>
      <c r="C7" s="95" t="s">
        <v>478</v>
      </c>
      <c r="E7" s="95" t="s">
        <v>477</v>
      </c>
      <c r="F7" s="95" t="s">
        <v>478</v>
      </c>
      <c r="H7" s="95" t="s">
        <v>153</v>
      </c>
      <c r="I7" s="95" t="s">
        <v>109</v>
      </c>
      <c r="J7" s="95" t="s">
        <v>109</v>
      </c>
    </row>
    <row r="8" spans="1:10" ht="15.75" thickBot="1">
      <c r="A8" s="43" t="str">
        <f>Ausgangssubstrate!A6</f>
        <v>Belebtschlamm, eingedickt</v>
      </c>
      <c r="B8" s="59"/>
      <c r="C8" s="145">
        <f>B8*I8/1000</f>
        <v>0</v>
      </c>
      <c r="E8" s="59"/>
      <c r="F8" s="145">
        <f t="shared" ref="F8:F27" si="0">E8*J8/1000</f>
        <v>0</v>
      </c>
      <c r="H8" s="68">
        <f>Ausgangssubstrate!I6</f>
        <v>314.28333333333336</v>
      </c>
      <c r="I8" s="39">
        <f>H8/Grundlagen!$B$8</f>
        <v>0.99772486772486779</v>
      </c>
      <c r="J8" s="98">
        <f>Grundlagen!$B$34</f>
        <v>2</v>
      </c>
    </row>
    <row r="9" spans="1:10" ht="16.5" thickTop="1" thickBot="1">
      <c r="A9" s="43" t="str">
        <f>Ausgangssubstrate!A7</f>
        <v>Belebtschlamm, eingedickt</v>
      </c>
      <c r="B9" s="59"/>
      <c r="C9" s="145">
        <f t="shared" ref="C9:C27" si="1">B9*I9/1000</f>
        <v>0</v>
      </c>
      <c r="E9" s="59"/>
      <c r="F9" s="145">
        <f t="shared" si="0"/>
        <v>0</v>
      </c>
      <c r="H9" s="68">
        <f>Ausgangssubstrate!I7</f>
        <v>314.28333333333336</v>
      </c>
      <c r="I9" s="39">
        <f>H9/Grundlagen!$B$8</f>
        <v>0.99772486772486779</v>
      </c>
      <c r="J9" s="98">
        <f>Grundlagen!$B$34</f>
        <v>2</v>
      </c>
    </row>
    <row r="10" spans="1:10" ht="16.5" thickTop="1" thickBot="1">
      <c r="A10" s="43" t="str">
        <f>Ausgangssubstrate!A8</f>
        <v>Belebtschlamm, eingedickt</v>
      </c>
      <c r="B10" s="59"/>
      <c r="C10" s="145">
        <f t="shared" si="1"/>
        <v>0</v>
      </c>
      <c r="E10" s="59"/>
      <c r="F10" s="145">
        <f t="shared" si="0"/>
        <v>0</v>
      </c>
      <c r="H10" s="68">
        <f>Ausgangssubstrate!I8</f>
        <v>314.28333333333336</v>
      </c>
      <c r="I10" s="39">
        <f>H10/Grundlagen!$B$8</f>
        <v>0.99772486772486779</v>
      </c>
      <c r="J10" s="98">
        <f>Grundlagen!$B$34</f>
        <v>2</v>
      </c>
    </row>
    <row r="11" spans="1:10" ht="16.5" thickTop="1" thickBot="1">
      <c r="A11" s="43" t="str">
        <f>Ausgangssubstrate!A9</f>
        <v>Belebtschlamm, eingedickt</v>
      </c>
      <c r="B11" s="59"/>
      <c r="C11" s="145">
        <f t="shared" si="1"/>
        <v>0</v>
      </c>
      <c r="E11" s="59"/>
      <c r="F11" s="145">
        <f>E11*J11/1000</f>
        <v>0</v>
      </c>
      <c r="H11" s="68">
        <f>Ausgangssubstrate!I9</f>
        <v>314.28333333333336</v>
      </c>
      <c r="I11" s="39">
        <f>H11/Grundlagen!$B$8</f>
        <v>0.99772486772486779</v>
      </c>
      <c r="J11" s="98">
        <f>Grundlagen!$B$34</f>
        <v>2</v>
      </c>
    </row>
    <row r="12" spans="1:10" ht="16.5" thickTop="1" thickBot="1">
      <c r="A12" s="43" t="str">
        <f>Ausgangssubstrate!A10</f>
        <v>Belebtschlamm, eingedickt</v>
      </c>
      <c r="B12" s="59"/>
      <c r="C12" s="145">
        <f t="shared" si="1"/>
        <v>0</v>
      </c>
      <c r="E12" s="59"/>
      <c r="F12" s="145">
        <f t="shared" si="0"/>
        <v>0</v>
      </c>
      <c r="H12" s="68">
        <f>Ausgangssubstrate!I10</f>
        <v>314.28333333333336</v>
      </c>
      <c r="I12" s="39">
        <f>H12/Grundlagen!$B$8</f>
        <v>0.99772486772486779</v>
      </c>
      <c r="J12" s="98">
        <f>Grundlagen!$B$34</f>
        <v>2</v>
      </c>
    </row>
    <row r="13" spans="1:10" ht="16.5" thickTop="1" thickBot="1">
      <c r="A13" s="43" t="str">
        <f>Ausgangssubstrate!A11</f>
        <v>Belebtschlamm, eingedickt</v>
      </c>
      <c r="B13" s="59"/>
      <c r="C13" s="145">
        <f t="shared" si="1"/>
        <v>0</v>
      </c>
      <c r="E13" s="59"/>
      <c r="F13" s="145">
        <f t="shared" si="0"/>
        <v>0</v>
      </c>
      <c r="H13" s="68">
        <f>Ausgangssubstrate!I11</f>
        <v>314.28333333333336</v>
      </c>
      <c r="I13" s="39">
        <f>H13/Grundlagen!$B$8</f>
        <v>0.99772486772486779</v>
      </c>
      <c r="J13" s="98">
        <f>Grundlagen!$B$34</f>
        <v>2</v>
      </c>
    </row>
    <row r="14" spans="1:10" ht="16.5" thickTop="1" thickBot="1">
      <c r="A14" s="43" t="str">
        <f>Ausgangssubstrate!A12</f>
        <v>Belebtschlamm, eingedickt</v>
      </c>
      <c r="B14" s="59"/>
      <c r="C14" s="145">
        <f t="shared" si="1"/>
        <v>0</v>
      </c>
      <c r="E14" s="59"/>
      <c r="F14" s="145">
        <f t="shared" si="0"/>
        <v>0</v>
      </c>
      <c r="H14" s="68">
        <f>Ausgangssubstrate!I12</f>
        <v>583.33333333333337</v>
      </c>
      <c r="I14" s="39">
        <f>H14/Grundlagen!$B$8</f>
        <v>1.8518518518518521</v>
      </c>
      <c r="J14" s="98">
        <f>Grundlagen!$B$34</f>
        <v>2</v>
      </c>
    </row>
    <row r="15" spans="1:10" ht="16.5" thickTop="1" thickBot="1">
      <c r="A15" s="43" t="str">
        <f>Ausgangssubstrate!A13</f>
        <v>Belebtschlamm, eingedickt</v>
      </c>
      <c r="B15" s="59"/>
      <c r="C15" s="145">
        <f t="shared" si="1"/>
        <v>0</v>
      </c>
      <c r="E15" s="59"/>
      <c r="F15" s="145">
        <f t="shared" si="0"/>
        <v>0</v>
      </c>
      <c r="H15" s="68">
        <f>Ausgangssubstrate!I13</f>
        <v>314.28333333333336</v>
      </c>
      <c r="I15" s="39">
        <f>H15/Grundlagen!$B$8</f>
        <v>0.99772486772486779</v>
      </c>
      <c r="J15" s="98">
        <f>Grundlagen!$B$34</f>
        <v>2</v>
      </c>
    </row>
    <row r="16" spans="1:10" ht="16.5" thickTop="1" thickBot="1">
      <c r="A16" s="43" t="str">
        <f>Ausgangssubstrate!A14</f>
        <v>Belebtschlamm, eingedickt</v>
      </c>
      <c r="B16" s="59"/>
      <c r="C16" s="145">
        <f t="shared" si="1"/>
        <v>0</v>
      </c>
      <c r="E16" s="59"/>
      <c r="F16" s="145">
        <f t="shared" si="0"/>
        <v>0</v>
      </c>
      <c r="H16" s="68">
        <f>Ausgangssubstrate!I14</f>
        <v>314.28333333333336</v>
      </c>
      <c r="I16" s="39">
        <f>H16/Grundlagen!$B$8</f>
        <v>0.99772486772486779</v>
      </c>
      <c r="J16" s="98">
        <f>Grundlagen!$B$34</f>
        <v>2</v>
      </c>
    </row>
    <row r="17" spans="1:10" ht="16.5" thickTop="1" thickBot="1">
      <c r="A17" s="43" t="str">
        <f>Ausgangssubstrate!A15</f>
        <v>Belebtschlamm, eingedickt</v>
      </c>
      <c r="B17" s="59"/>
      <c r="C17" s="145">
        <f t="shared" si="1"/>
        <v>0</v>
      </c>
      <c r="E17" s="59"/>
      <c r="F17" s="145">
        <f t="shared" si="0"/>
        <v>0</v>
      </c>
      <c r="H17" s="68">
        <f>Ausgangssubstrate!I15</f>
        <v>314.28333333333336</v>
      </c>
      <c r="I17" s="39">
        <f>H17/Grundlagen!$B$8</f>
        <v>0.99772486772486779</v>
      </c>
      <c r="J17" s="98">
        <f>Grundlagen!$B$34</f>
        <v>2</v>
      </c>
    </row>
    <row r="18" spans="1:10" ht="16.5" thickTop="1" thickBot="1">
      <c r="A18" s="43" t="str">
        <f>Ausgangssubstrate!A16</f>
        <v>Belebtschlamm, eingedickt</v>
      </c>
      <c r="B18" s="59"/>
      <c r="C18" s="145">
        <f t="shared" si="1"/>
        <v>0</v>
      </c>
      <c r="E18" s="59"/>
      <c r="F18" s="145">
        <f t="shared" si="0"/>
        <v>0</v>
      </c>
      <c r="H18" s="68">
        <f>Ausgangssubstrate!I16</f>
        <v>314.28333333333336</v>
      </c>
      <c r="I18" s="39">
        <f>H18/Grundlagen!$B$8</f>
        <v>0.99772486772486779</v>
      </c>
      <c r="J18" s="98">
        <f>Grundlagen!$B$34</f>
        <v>2</v>
      </c>
    </row>
    <row r="19" spans="1:10" ht="16.5" thickTop="1" thickBot="1">
      <c r="A19" s="43" t="str">
        <f>Ausgangssubstrate!A17</f>
        <v>Belebtschlamm, eingedickt</v>
      </c>
      <c r="B19" s="59"/>
      <c r="C19" s="145">
        <f t="shared" si="1"/>
        <v>0</v>
      </c>
      <c r="E19" s="59"/>
      <c r="F19" s="145">
        <f t="shared" si="0"/>
        <v>0</v>
      </c>
      <c r="H19" s="68">
        <f>Ausgangssubstrate!I17</f>
        <v>314.28333333333336</v>
      </c>
      <c r="I19" s="39">
        <f>H19/Grundlagen!$B$8</f>
        <v>0.99772486772486779</v>
      </c>
      <c r="J19" s="98">
        <f>Grundlagen!$B$34</f>
        <v>2</v>
      </c>
    </row>
    <row r="20" spans="1:10" ht="16.5" thickTop="1" thickBot="1">
      <c r="A20" s="43" t="str">
        <f>Ausgangssubstrate!A18</f>
        <v>Belebtschlamm, eingedickt</v>
      </c>
      <c r="B20" s="59"/>
      <c r="C20" s="145">
        <f t="shared" si="1"/>
        <v>0</v>
      </c>
      <c r="E20" s="59"/>
      <c r="F20" s="145">
        <f t="shared" si="0"/>
        <v>0</v>
      </c>
      <c r="H20" s="68">
        <f>Ausgangssubstrate!I18</f>
        <v>314.28333333333336</v>
      </c>
      <c r="I20" s="39">
        <f>H20/Grundlagen!$B$8</f>
        <v>0.99772486772486779</v>
      </c>
      <c r="J20" s="98">
        <f>Grundlagen!$B$34</f>
        <v>2</v>
      </c>
    </row>
    <row r="21" spans="1:10" ht="16.5" thickTop="1" thickBot="1">
      <c r="A21" s="43" t="str">
        <f>Ausgangssubstrate!A19</f>
        <v>Belebtschlamm, eingedickt</v>
      </c>
      <c r="B21" s="59"/>
      <c r="C21" s="145">
        <f t="shared" si="1"/>
        <v>0</v>
      </c>
      <c r="E21" s="59"/>
      <c r="F21" s="145">
        <f t="shared" si="0"/>
        <v>0</v>
      </c>
      <c r="H21" s="68">
        <f>Ausgangssubstrate!I19</f>
        <v>314.28333333333336</v>
      </c>
      <c r="I21" s="39">
        <f>H21/Grundlagen!$B$8</f>
        <v>0.99772486772486779</v>
      </c>
      <c r="J21" s="98">
        <f>Grundlagen!$B$34</f>
        <v>2</v>
      </c>
    </row>
    <row r="22" spans="1:10" ht="16.5" thickTop="1" thickBot="1">
      <c r="A22" s="43" t="str">
        <f>Ausgangssubstrate!A20</f>
        <v>Belebtschlamm, eingedickt</v>
      </c>
      <c r="B22" s="59"/>
      <c r="C22" s="145">
        <f t="shared" si="1"/>
        <v>0</v>
      </c>
      <c r="E22" s="59"/>
      <c r="F22" s="145">
        <f t="shared" si="0"/>
        <v>0</v>
      </c>
      <c r="H22" s="68">
        <f>Ausgangssubstrate!I20</f>
        <v>314.28333333333336</v>
      </c>
      <c r="I22" s="39">
        <f>H22/Grundlagen!$B$8</f>
        <v>0.99772486772486779</v>
      </c>
      <c r="J22" s="98">
        <f>Grundlagen!$B$34</f>
        <v>2</v>
      </c>
    </row>
    <row r="23" spans="1:10" ht="16.5" thickTop="1" thickBot="1">
      <c r="A23" s="43" t="str">
        <f>Ausgangssubstrate!A21</f>
        <v>Belebtschlamm, eingedickt</v>
      </c>
      <c r="B23" s="59"/>
      <c r="C23" s="145">
        <f t="shared" si="1"/>
        <v>0</v>
      </c>
      <c r="E23" s="59"/>
      <c r="F23" s="145">
        <f t="shared" si="0"/>
        <v>0</v>
      </c>
      <c r="H23" s="68">
        <f>Ausgangssubstrate!I21</f>
        <v>314.28333333333336</v>
      </c>
      <c r="I23" s="39">
        <f>H23/Grundlagen!$B$8</f>
        <v>0.99772486772486779</v>
      </c>
      <c r="J23" s="98">
        <f>Grundlagen!$B$34</f>
        <v>2</v>
      </c>
    </row>
    <row r="24" spans="1:10" ht="16.5" thickTop="1" thickBot="1">
      <c r="A24" s="43" t="str">
        <f>Ausgangssubstrate!A22</f>
        <v>Belebtschlamm, eingedickt</v>
      </c>
      <c r="B24" s="59"/>
      <c r="C24" s="145">
        <f t="shared" si="1"/>
        <v>0</v>
      </c>
      <c r="E24" s="59"/>
      <c r="F24" s="145">
        <f t="shared" si="0"/>
        <v>0</v>
      </c>
      <c r="H24" s="68">
        <f>Ausgangssubstrate!I22</f>
        <v>314.28333333333336</v>
      </c>
      <c r="I24" s="39">
        <f>H24/Grundlagen!$B$8</f>
        <v>0.99772486772486779</v>
      </c>
      <c r="J24" s="98">
        <f>Grundlagen!$B$34</f>
        <v>2</v>
      </c>
    </row>
    <row r="25" spans="1:10" ht="16.5" thickTop="1" thickBot="1">
      <c r="A25" s="43" t="str">
        <f>Ausgangssubstrate!A23</f>
        <v>Belebtschlamm, eingedickt</v>
      </c>
      <c r="B25" s="59"/>
      <c r="C25" s="145">
        <f t="shared" si="1"/>
        <v>0</v>
      </c>
      <c r="E25" s="59"/>
      <c r="F25" s="145">
        <f t="shared" si="0"/>
        <v>0</v>
      </c>
      <c r="H25" s="68">
        <f>Ausgangssubstrate!I23</f>
        <v>314.28333333333336</v>
      </c>
      <c r="I25" s="39">
        <f>H25/Grundlagen!$B$8</f>
        <v>0.99772486772486779</v>
      </c>
      <c r="J25" s="98">
        <f>Grundlagen!$B$34</f>
        <v>2</v>
      </c>
    </row>
    <row r="26" spans="1:10" ht="16.5" thickTop="1" thickBot="1">
      <c r="A26" s="43" t="str">
        <f>Ausgangssubstrate!A24</f>
        <v>Belebtschlamm, eingedickt</v>
      </c>
      <c r="B26" s="59"/>
      <c r="C26" s="145">
        <f t="shared" si="1"/>
        <v>0</v>
      </c>
      <c r="E26" s="59"/>
      <c r="F26" s="145">
        <f t="shared" si="0"/>
        <v>0</v>
      </c>
      <c r="H26" s="68">
        <f>Ausgangssubstrate!I24</f>
        <v>314.28333333333336</v>
      </c>
      <c r="I26" s="39">
        <f>H26/Grundlagen!$B$8</f>
        <v>0.99772486772486779</v>
      </c>
      <c r="J26" s="98">
        <f>Grundlagen!$B$34</f>
        <v>2</v>
      </c>
    </row>
    <row r="27" spans="1:10" ht="16.5" thickTop="1" thickBot="1">
      <c r="A27" s="43" t="str">
        <f>Ausgangssubstrate!A25</f>
        <v>Belebtschlamm, eingedickt</v>
      </c>
      <c r="B27" s="59"/>
      <c r="C27" s="145">
        <f t="shared" si="1"/>
        <v>0</v>
      </c>
      <c r="E27" s="59"/>
      <c r="F27" s="145">
        <f t="shared" si="0"/>
        <v>0</v>
      </c>
      <c r="H27" s="68">
        <f>Ausgangssubstrate!I25</f>
        <v>314.28333333333336</v>
      </c>
      <c r="I27" s="39">
        <f>H27/Grundlagen!$B$8</f>
        <v>0.99772486772486779</v>
      </c>
      <c r="J27" s="98">
        <f>Grundlagen!$B$34</f>
        <v>2</v>
      </c>
    </row>
    <row r="28" spans="1:10" ht="16.5" thickTop="1" thickBot="1">
      <c r="A28" s="43" t="str">
        <f>Ausgangssubstrate!A26</f>
        <v>Belebtschlamm, eingedickt</v>
      </c>
      <c r="B28" s="59"/>
      <c r="C28" s="145">
        <f t="shared" ref="C28:C29" si="2">B28*I28/1000</f>
        <v>0</v>
      </c>
      <c r="E28" s="59"/>
      <c r="F28" s="145">
        <f t="shared" ref="F28:F29" si="3">E28*J28/1000</f>
        <v>0</v>
      </c>
      <c r="H28" s="68">
        <f>Ausgangssubstrate!I26</f>
        <v>314.28333333333336</v>
      </c>
      <c r="I28" s="39">
        <f>H28/Grundlagen!$B$8</f>
        <v>0.99772486772486779</v>
      </c>
      <c r="J28" s="98">
        <f>Grundlagen!$B$34</f>
        <v>2</v>
      </c>
    </row>
    <row r="29" spans="1:10" ht="16.5" thickTop="1" thickBot="1">
      <c r="A29" s="43" t="str">
        <f>Ausgangssubstrate!A27</f>
        <v>Belebtschlamm, eingedickt</v>
      </c>
      <c r="B29" s="59"/>
      <c r="C29" s="145">
        <f t="shared" si="2"/>
        <v>0</v>
      </c>
      <c r="E29" s="59"/>
      <c r="F29" s="145">
        <f t="shared" si="3"/>
        <v>0</v>
      </c>
      <c r="H29" s="68">
        <f>Ausgangssubstrate!I27</f>
        <v>314.28333333333336</v>
      </c>
      <c r="I29" s="39">
        <f>H29/Grundlagen!$B$8</f>
        <v>0.99772486772486779</v>
      </c>
      <c r="J29" s="98">
        <f>Grundlagen!$B$34</f>
        <v>2</v>
      </c>
    </row>
    <row r="30" spans="1:10" ht="15.75" thickTop="1"/>
    <row r="31" spans="1:10">
      <c r="A31" s="60" t="s">
        <v>465</v>
      </c>
      <c r="B31" s="85"/>
      <c r="C31" t="s">
        <v>479</v>
      </c>
    </row>
  </sheetData>
  <dataValidations xWindow="449" yWindow="464" count="1">
    <dataValidation allowBlank="1" showInputMessage="1" showErrorMessage="1" promptTitle="CSB-Konzentration" prompt="Konzentration des chemischen Sauerstoffbedarfs in Gramm pro Liter O2 eingeben ." sqref="B8:G29" xr:uid="{365EDE42-2BF3-47A8-82C8-E7FCFAF0B936}"/>
  </dataValidations>
  <pageMargins left="0.7" right="0.7" top="0.78740157499999996" bottom="0.85144927536231885" header="0.3" footer="0.3"/>
  <pageSetup paperSize="9" orientation="portrait" horizontalDpi="1200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30B3-5E15-43A2-A0F5-C187AD436DB2}">
  <sheetPr>
    <tabColor theme="7" tint="0.59999389629810485"/>
  </sheetPr>
  <dimension ref="A1:L40"/>
  <sheetViews>
    <sheetView zoomScale="85" zoomScaleNormal="85" workbookViewId="0">
      <pane xSplit="1" ySplit="7" topLeftCell="B26" activePane="bottomRight" state="frozen"/>
      <selection pane="bottomRight" activeCell="B26" sqref="B26"/>
      <selection pane="bottomLeft" activeCell="A6" sqref="A6"/>
      <selection pane="topRight" activeCell="B1" sqref="B1"/>
    </sheetView>
  </sheetViews>
  <sheetFormatPr defaultColWidth="11.42578125" defaultRowHeight="15"/>
  <cols>
    <col min="1" max="1" width="40.7109375" customWidth="1"/>
    <col min="2" max="8" width="16.5703125" customWidth="1"/>
    <col min="9" max="9" width="2.85546875" customWidth="1"/>
    <col min="10" max="11" width="16.5703125" customWidth="1"/>
    <col min="12" max="12" width="26.5703125" bestFit="1" customWidth="1"/>
  </cols>
  <sheetData>
    <row r="1" spans="1:12" ht="45" customHeight="1">
      <c r="A1" s="26"/>
      <c r="C1" s="20"/>
      <c r="D1" s="20"/>
      <c r="E1" s="6"/>
      <c r="F1" s="4"/>
      <c r="G1" s="20"/>
      <c r="H1" s="3"/>
    </row>
    <row r="2" spans="1:12" ht="20.25" thickBot="1">
      <c r="A2" s="24" t="s">
        <v>480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ht="15.75" thickTop="1"/>
    <row r="4" spans="1:12" ht="18" thickBot="1">
      <c r="A4" s="42" t="s">
        <v>481</v>
      </c>
      <c r="B4" s="42"/>
      <c r="C4" s="42"/>
      <c r="D4" s="42"/>
      <c r="E4" s="42"/>
      <c r="F4" s="42"/>
      <c r="G4" s="42" t="s">
        <v>482</v>
      </c>
      <c r="H4" s="42"/>
      <c r="I4" s="42"/>
      <c r="J4" s="42" t="s">
        <v>470</v>
      </c>
      <c r="K4" s="42"/>
    </row>
    <row r="5" spans="1:12" ht="15.75" thickTop="1"/>
    <row r="6" spans="1:12" ht="18">
      <c r="A6" s="86" t="s">
        <v>201</v>
      </c>
      <c r="B6" s="86" t="s">
        <v>483</v>
      </c>
      <c r="C6" s="86" t="s">
        <v>484</v>
      </c>
      <c r="D6" s="86" t="s">
        <v>485</v>
      </c>
      <c r="E6" s="86" t="s">
        <v>486</v>
      </c>
      <c r="F6" s="86" t="s">
        <v>487</v>
      </c>
      <c r="G6" s="86" t="s">
        <v>145</v>
      </c>
      <c r="H6" s="86" t="s">
        <v>70</v>
      </c>
      <c r="J6" s="86" t="s">
        <v>73</v>
      </c>
      <c r="K6" s="86" t="s">
        <v>475</v>
      </c>
    </row>
    <row r="7" spans="1:12" s="64" customFormat="1" ht="17.25">
      <c r="A7" s="95"/>
      <c r="B7" s="95" t="s">
        <v>109</v>
      </c>
      <c r="C7" s="95" t="s">
        <v>109</v>
      </c>
      <c r="D7" s="95" t="s">
        <v>109</v>
      </c>
      <c r="E7" s="95" t="s">
        <v>109</v>
      </c>
      <c r="F7" s="101" t="s">
        <v>488</v>
      </c>
      <c r="G7" s="95" t="s">
        <v>153</v>
      </c>
      <c r="H7" s="95" t="s">
        <v>109</v>
      </c>
      <c r="J7" s="95" t="s">
        <v>109</v>
      </c>
      <c r="K7" s="95" t="s">
        <v>153</v>
      </c>
    </row>
    <row r="8" spans="1:12" ht="15.75" thickBot="1">
      <c r="A8" s="43" t="s">
        <v>489</v>
      </c>
      <c r="B8" s="105"/>
      <c r="C8" s="105"/>
      <c r="D8" s="105"/>
      <c r="E8" s="105"/>
      <c r="F8" s="70">
        <f t="shared" ref="F8:F10" si="0">SUM(B8:E8)</f>
        <v>0</v>
      </c>
      <c r="G8" s="65">
        <f t="shared" ref="G8:G24" si="1">K8*H8</f>
        <v>0</v>
      </c>
      <c r="H8" s="72">
        <f t="shared" ref="H8:H24" si="2">C8*$H$37+D8*$H$38+E8*$H$39</f>
        <v>0</v>
      </c>
      <c r="J8" s="61">
        <f>Abbaugrad!D8</f>
        <v>0.9999999802362165</v>
      </c>
      <c r="K8" s="41">
        <f t="shared" ref="K8:K24" si="3">(C8*$D$37+D8*$D$38+E8*$D$39)*J8</f>
        <v>0</v>
      </c>
      <c r="L8" s="64"/>
    </row>
    <row r="9" spans="1:12" ht="16.5" thickTop="1" thickBot="1">
      <c r="A9" s="43" t="str">
        <f>Ausgangssubstrate!A7</f>
        <v>Belebtschlamm, eingedickt</v>
      </c>
      <c r="B9" s="105"/>
      <c r="C9" s="105"/>
      <c r="D9" s="105"/>
      <c r="E9" s="105"/>
      <c r="F9" s="70">
        <f t="shared" si="0"/>
        <v>0</v>
      </c>
      <c r="G9" s="65">
        <f t="shared" si="1"/>
        <v>0</v>
      </c>
      <c r="H9" s="72">
        <f t="shared" si="2"/>
        <v>0</v>
      </c>
      <c r="J9" s="61">
        <f>Abbaugrad!D9</f>
        <v>0.9999999802362165</v>
      </c>
      <c r="K9" s="41">
        <f t="shared" si="3"/>
        <v>0</v>
      </c>
      <c r="L9" s="64"/>
    </row>
    <row r="10" spans="1:12" ht="16.5" thickTop="1" thickBot="1">
      <c r="A10" s="43" t="str">
        <f>Ausgangssubstrate!A8</f>
        <v>Belebtschlamm, eingedickt</v>
      </c>
      <c r="B10" s="105"/>
      <c r="C10" s="105"/>
      <c r="D10" s="105"/>
      <c r="E10" s="105"/>
      <c r="F10" s="70">
        <f t="shared" si="0"/>
        <v>0</v>
      </c>
      <c r="G10" s="65">
        <f t="shared" si="1"/>
        <v>0</v>
      </c>
      <c r="H10" s="72">
        <f t="shared" si="2"/>
        <v>0</v>
      </c>
      <c r="J10" s="61">
        <f>Abbaugrad!D10</f>
        <v>0.9999999802362165</v>
      </c>
      <c r="K10" s="41">
        <f t="shared" si="3"/>
        <v>0</v>
      </c>
      <c r="L10" s="64"/>
    </row>
    <row r="11" spans="1:12" ht="16.5" thickTop="1" thickBot="1">
      <c r="A11" s="43" t="str">
        <f>Ausgangssubstrate!A9</f>
        <v>Belebtschlamm, eingedickt</v>
      </c>
      <c r="B11" s="105"/>
      <c r="C11" s="105"/>
      <c r="D11" s="105"/>
      <c r="E11" s="105"/>
      <c r="F11" s="70">
        <f>SUM(B11:E11)</f>
        <v>0</v>
      </c>
      <c r="G11" s="65">
        <f t="shared" si="1"/>
        <v>0</v>
      </c>
      <c r="H11" s="72">
        <f t="shared" si="2"/>
        <v>0</v>
      </c>
      <c r="J11" s="61">
        <f>Abbaugrad!D11</f>
        <v>0.9999999802362165</v>
      </c>
      <c r="K11" s="41">
        <f t="shared" si="3"/>
        <v>0</v>
      </c>
      <c r="L11" s="64"/>
    </row>
    <row r="12" spans="1:12" ht="16.5" thickTop="1" thickBot="1">
      <c r="A12" s="43" t="str">
        <f>Ausgangssubstrate!A10</f>
        <v>Belebtschlamm, eingedickt</v>
      </c>
      <c r="B12" s="105"/>
      <c r="C12" s="105"/>
      <c r="D12" s="105"/>
      <c r="E12" s="105"/>
      <c r="F12" s="70">
        <f t="shared" ref="F12:F24" si="4">SUM(B12:E12)</f>
        <v>0</v>
      </c>
      <c r="G12" s="65">
        <f t="shared" si="1"/>
        <v>0</v>
      </c>
      <c r="H12" s="72">
        <f t="shared" si="2"/>
        <v>0</v>
      </c>
      <c r="J12" s="61">
        <f>Abbaugrad!D12</f>
        <v>0.9999999802362165</v>
      </c>
      <c r="K12" s="41">
        <f t="shared" si="3"/>
        <v>0</v>
      </c>
      <c r="L12" s="64"/>
    </row>
    <row r="13" spans="1:12" ht="16.5" thickTop="1" thickBot="1">
      <c r="A13" s="43" t="str">
        <f>Ausgangssubstrate!A11</f>
        <v>Belebtschlamm, eingedickt</v>
      </c>
      <c r="B13" s="105"/>
      <c r="C13" s="105"/>
      <c r="D13" s="105"/>
      <c r="E13" s="105"/>
      <c r="F13" s="70">
        <f t="shared" si="4"/>
        <v>0</v>
      </c>
      <c r="G13" s="65">
        <f t="shared" si="1"/>
        <v>0</v>
      </c>
      <c r="H13" s="72">
        <f t="shared" si="2"/>
        <v>0</v>
      </c>
      <c r="J13" s="61">
        <f>Abbaugrad!D13</f>
        <v>0.9999999802362165</v>
      </c>
      <c r="K13" s="41">
        <f t="shared" si="3"/>
        <v>0</v>
      </c>
      <c r="L13" s="64"/>
    </row>
    <row r="14" spans="1:12" ht="16.5" thickTop="1" thickBot="1">
      <c r="A14" s="43" t="str">
        <f>Ausgangssubstrate!A12</f>
        <v>Belebtschlamm, eingedickt</v>
      </c>
      <c r="B14" s="105"/>
      <c r="C14" s="105"/>
      <c r="D14" s="105"/>
      <c r="E14" s="105"/>
      <c r="F14" s="70">
        <f t="shared" si="4"/>
        <v>0</v>
      </c>
      <c r="G14" s="65">
        <f t="shared" si="1"/>
        <v>0</v>
      </c>
      <c r="H14" s="72">
        <f t="shared" si="2"/>
        <v>0</v>
      </c>
      <c r="J14" s="61">
        <f>Abbaugrad!D14</f>
        <v>0.99999998023621661</v>
      </c>
      <c r="K14" s="41">
        <f t="shared" si="3"/>
        <v>0</v>
      </c>
      <c r="L14" s="64"/>
    </row>
    <row r="15" spans="1:12" ht="16.5" thickTop="1" thickBot="1">
      <c r="A15" s="43" t="str">
        <f>Ausgangssubstrate!A13</f>
        <v>Belebtschlamm, eingedickt</v>
      </c>
      <c r="B15" s="105"/>
      <c r="C15" s="105"/>
      <c r="D15" s="105"/>
      <c r="E15" s="105"/>
      <c r="F15" s="70">
        <f t="shared" si="4"/>
        <v>0</v>
      </c>
      <c r="G15" s="65">
        <f t="shared" si="1"/>
        <v>0</v>
      </c>
      <c r="H15" s="72">
        <f t="shared" si="2"/>
        <v>0</v>
      </c>
      <c r="J15" s="61">
        <f>Abbaugrad!D15</f>
        <v>0.9999999802362165</v>
      </c>
      <c r="K15" s="41">
        <f t="shared" si="3"/>
        <v>0</v>
      </c>
      <c r="L15" s="64"/>
    </row>
    <row r="16" spans="1:12" ht="16.5" thickTop="1" thickBot="1">
      <c r="A16" s="43" t="str">
        <f>Ausgangssubstrate!A14</f>
        <v>Belebtschlamm, eingedickt</v>
      </c>
      <c r="B16" s="105"/>
      <c r="C16" s="105"/>
      <c r="D16" s="105"/>
      <c r="E16" s="105"/>
      <c r="F16" s="70">
        <f t="shared" si="4"/>
        <v>0</v>
      </c>
      <c r="G16" s="65">
        <f t="shared" si="1"/>
        <v>0</v>
      </c>
      <c r="H16" s="72">
        <f t="shared" si="2"/>
        <v>0</v>
      </c>
      <c r="J16" s="61">
        <f>Abbaugrad!D16</f>
        <v>0.9999999802362165</v>
      </c>
      <c r="K16" s="41">
        <f t="shared" si="3"/>
        <v>0</v>
      </c>
      <c r="L16" s="64"/>
    </row>
    <row r="17" spans="1:12" ht="16.5" thickTop="1" thickBot="1">
      <c r="A17" s="43" t="str">
        <f>Ausgangssubstrate!A15</f>
        <v>Belebtschlamm, eingedickt</v>
      </c>
      <c r="B17" s="105"/>
      <c r="C17" s="105"/>
      <c r="D17" s="105"/>
      <c r="E17" s="105"/>
      <c r="F17" s="70">
        <f t="shared" si="4"/>
        <v>0</v>
      </c>
      <c r="G17" s="65">
        <f t="shared" si="1"/>
        <v>0</v>
      </c>
      <c r="H17" s="72">
        <f t="shared" si="2"/>
        <v>0</v>
      </c>
      <c r="J17" s="61">
        <f>Abbaugrad!D17</f>
        <v>0.9999999802362165</v>
      </c>
      <c r="K17" s="41">
        <f t="shared" si="3"/>
        <v>0</v>
      </c>
      <c r="L17" s="64"/>
    </row>
    <row r="18" spans="1:12" ht="16.5" thickTop="1" thickBot="1">
      <c r="A18" s="43" t="str">
        <f>Ausgangssubstrate!A16</f>
        <v>Belebtschlamm, eingedickt</v>
      </c>
      <c r="B18" s="105"/>
      <c r="C18" s="105"/>
      <c r="D18" s="105"/>
      <c r="E18" s="105"/>
      <c r="F18" s="70">
        <f t="shared" si="4"/>
        <v>0</v>
      </c>
      <c r="G18" s="65">
        <f t="shared" si="1"/>
        <v>0</v>
      </c>
      <c r="H18" s="72">
        <f t="shared" si="2"/>
        <v>0</v>
      </c>
      <c r="J18" s="61">
        <f>Abbaugrad!D18</f>
        <v>0.9999999802362165</v>
      </c>
      <c r="K18" s="41">
        <f t="shared" si="3"/>
        <v>0</v>
      </c>
      <c r="L18" s="64"/>
    </row>
    <row r="19" spans="1:12" ht="16.5" thickTop="1" thickBot="1">
      <c r="A19" s="43" t="str">
        <f>Ausgangssubstrate!A17</f>
        <v>Belebtschlamm, eingedickt</v>
      </c>
      <c r="B19" s="105"/>
      <c r="C19" s="105"/>
      <c r="D19" s="105"/>
      <c r="E19" s="105"/>
      <c r="F19" s="70">
        <f t="shared" si="4"/>
        <v>0</v>
      </c>
      <c r="G19" s="65">
        <f t="shared" si="1"/>
        <v>0</v>
      </c>
      <c r="H19" s="72">
        <f t="shared" si="2"/>
        <v>0</v>
      </c>
      <c r="J19" s="61">
        <f>Abbaugrad!D19</f>
        <v>0.9999999802362165</v>
      </c>
      <c r="K19" s="41">
        <f t="shared" si="3"/>
        <v>0</v>
      </c>
      <c r="L19" s="64"/>
    </row>
    <row r="20" spans="1:12" ht="16.5" thickTop="1" thickBot="1">
      <c r="A20" s="43" t="str">
        <f>Ausgangssubstrate!A18</f>
        <v>Belebtschlamm, eingedickt</v>
      </c>
      <c r="B20" s="105"/>
      <c r="C20" s="105"/>
      <c r="D20" s="105"/>
      <c r="E20" s="105"/>
      <c r="F20" s="70">
        <f t="shared" si="4"/>
        <v>0</v>
      </c>
      <c r="G20" s="65">
        <f t="shared" si="1"/>
        <v>0</v>
      </c>
      <c r="H20" s="72">
        <f t="shared" si="2"/>
        <v>0</v>
      </c>
      <c r="J20" s="61">
        <f>Abbaugrad!D20</f>
        <v>0.9999999802362165</v>
      </c>
      <c r="K20" s="41">
        <f t="shared" si="3"/>
        <v>0</v>
      </c>
      <c r="L20" s="64"/>
    </row>
    <row r="21" spans="1:12" ht="16.5" thickTop="1" thickBot="1">
      <c r="A21" s="43" t="str">
        <f>Ausgangssubstrate!A19</f>
        <v>Belebtschlamm, eingedickt</v>
      </c>
      <c r="B21" s="105"/>
      <c r="C21" s="105"/>
      <c r="D21" s="105"/>
      <c r="E21" s="105"/>
      <c r="F21" s="70">
        <f t="shared" si="4"/>
        <v>0</v>
      </c>
      <c r="G21" s="65">
        <f t="shared" si="1"/>
        <v>0</v>
      </c>
      <c r="H21" s="72">
        <f t="shared" si="2"/>
        <v>0</v>
      </c>
      <c r="J21" s="61">
        <f>Abbaugrad!D21</f>
        <v>0.9999999802362165</v>
      </c>
      <c r="K21" s="41">
        <f t="shared" si="3"/>
        <v>0</v>
      </c>
      <c r="L21" s="64"/>
    </row>
    <row r="22" spans="1:12" ht="16.5" thickTop="1" thickBot="1">
      <c r="A22" s="43" t="str">
        <f>Ausgangssubstrate!A20</f>
        <v>Belebtschlamm, eingedickt</v>
      </c>
      <c r="B22" s="105"/>
      <c r="C22" s="105"/>
      <c r="D22" s="105"/>
      <c r="E22" s="105"/>
      <c r="F22" s="70">
        <f t="shared" si="4"/>
        <v>0</v>
      </c>
      <c r="G22" s="65">
        <f t="shared" si="1"/>
        <v>0</v>
      </c>
      <c r="H22" s="72">
        <f t="shared" si="2"/>
        <v>0</v>
      </c>
      <c r="J22" s="61">
        <f>Abbaugrad!D22</f>
        <v>0.9999999802362165</v>
      </c>
      <c r="K22" s="41">
        <f t="shared" si="3"/>
        <v>0</v>
      </c>
      <c r="L22" s="64"/>
    </row>
    <row r="23" spans="1:12" ht="16.5" thickTop="1" thickBot="1">
      <c r="A23" s="43" t="str">
        <f>Ausgangssubstrate!A21</f>
        <v>Belebtschlamm, eingedickt</v>
      </c>
      <c r="B23" s="105"/>
      <c r="C23" s="105"/>
      <c r="D23" s="105"/>
      <c r="E23" s="105"/>
      <c r="F23" s="70">
        <f t="shared" si="4"/>
        <v>0</v>
      </c>
      <c r="G23" s="65">
        <f t="shared" si="1"/>
        <v>0</v>
      </c>
      <c r="H23" s="72">
        <f t="shared" si="2"/>
        <v>0</v>
      </c>
      <c r="J23" s="61">
        <f>Abbaugrad!D23</f>
        <v>0.9999999802362165</v>
      </c>
      <c r="K23" s="41">
        <f t="shared" si="3"/>
        <v>0</v>
      </c>
      <c r="L23" s="64"/>
    </row>
    <row r="24" spans="1:12" ht="16.5" thickTop="1" thickBot="1">
      <c r="A24" s="43" t="str">
        <f>Ausgangssubstrate!A22</f>
        <v>Belebtschlamm, eingedickt</v>
      </c>
      <c r="B24" s="105"/>
      <c r="C24" s="105"/>
      <c r="D24" s="105"/>
      <c r="E24" s="105"/>
      <c r="F24" s="70">
        <f t="shared" si="4"/>
        <v>0</v>
      </c>
      <c r="G24" s="65">
        <f t="shared" si="1"/>
        <v>0</v>
      </c>
      <c r="H24" s="72">
        <f t="shared" si="2"/>
        <v>0</v>
      </c>
      <c r="J24" s="61">
        <f>Abbaugrad!D24</f>
        <v>0.9999999802362165</v>
      </c>
      <c r="K24" s="41">
        <f t="shared" si="3"/>
        <v>0</v>
      </c>
      <c r="L24" s="64"/>
    </row>
    <row r="25" spans="1:12" ht="16.5" thickTop="1" thickBot="1">
      <c r="A25" s="43" t="str">
        <f>Ausgangssubstrate!A23</f>
        <v>Belebtschlamm, eingedickt</v>
      </c>
      <c r="B25" s="105"/>
      <c r="C25" s="105"/>
      <c r="D25" s="105"/>
      <c r="E25" s="105"/>
      <c r="F25" s="70">
        <f t="shared" ref="F25:F29" si="5">SUM(B25:E25)</f>
        <v>0</v>
      </c>
      <c r="G25" s="65">
        <f t="shared" ref="G25:G29" si="6">K25*H25</f>
        <v>0</v>
      </c>
      <c r="H25" s="72">
        <f t="shared" ref="H25:H29" si="7">C25*$H$37+D25*$H$38+E25*$H$39</f>
        <v>0</v>
      </c>
      <c r="J25" s="61">
        <f>Abbaugrad!D25</f>
        <v>0.9999999802362165</v>
      </c>
      <c r="K25" s="41">
        <f t="shared" ref="K25:K29" si="8">(C25*$D$37+D25*$D$38+E25*$D$39)*J25</f>
        <v>0</v>
      </c>
      <c r="L25" s="64"/>
    </row>
    <row r="26" spans="1:12" ht="16.5" thickTop="1" thickBot="1">
      <c r="A26" s="43" t="str">
        <f>Ausgangssubstrate!A24</f>
        <v>Belebtschlamm, eingedickt</v>
      </c>
      <c r="B26" s="105"/>
      <c r="C26" s="105"/>
      <c r="D26" s="105"/>
      <c r="E26" s="105"/>
      <c r="F26" s="70">
        <f t="shared" si="5"/>
        <v>0</v>
      </c>
      <c r="G26" s="65">
        <f t="shared" si="6"/>
        <v>0</v>
      </c>
      <c r="H26" s="72">
        <f t="shared" si="7"/>
        <v>0</v>
      </c>
      <c r="J26" s="61">
        <f>Abbaugrad!D26</f>
        <v>0.9999999802362165</v>
      </c>
      <c r="K26" s="41">
        <f t="shared" si="8"/>
        <v>0</v>
      </c>
      <c r="L26" s="64"/>
    </row>
    <row r="27" spans="1:12" ht="16.5" thickTop="1" thickBot="1">
      <c r="A27" s="43" t="str">
        <f>Ausgangssubstrate!A25</f>
        <v>Belebtschlamm, eingedickt</v>
      </c>
      <c r="B27" s="105"/>
      <c r="C27" s="105"/>
      <c r="D27" s="105"/>
      <c r="E27" s="105"/>
      <c r="F27" s="70">
        <f t="shared" si="5"/>
        <v>0</v>
      </c>
      <c r="G27" s="65">
        <f t="shared" si="6"/>
        <v>0</v>
      </c>
      <c r="H27" s="72">
        <f t="shared" si="7"/>
        <v>0</v>
      </c>
      <c r="J27" s="61">
        <f>Abbaugrad!D27</f>
        <v>0.9999999802362165</v>
      </c>
      <c r="K27" s="41">
        <f t="shared" si="8"/>
        <v>0</v>
      </c>
      <c r="L27" s="64"/>
    </row>
    <row r="28" spans="1:12" ht="16.5" thickTop="1" thickBot="1">
      <c r="A28" s="43" t="str">
        <f>Ausgangssubstrate!A26</f>
        <v>Belebtschlamm, eingedickt</v>
      </c>
      <c r="B28" s="105"/>
      <c r="C28" s="105"/>
      <c r="D28" s="105"/>
      <c r="E28" s="105"/>
      <c r="F28" s="70">
        <f t="shared" si="5"/>
        <v>0</v>
      </c>
      <c r="G28" s="65">
        <f t="shared" si="6"/>
        <v>0</v>
      </c>
      <c r="H28" s="72">
        <f t="shared" si="7"/>
        <v>0</v>
      </c>
      <c r="J28" s="61">
        <f>Abbaugrad!D28</f>
        <v>0.9999999802362165</v>
      </c>
      <c r="K28" s="41">
        <f t="shared" si="8"/>
        <v>0</v>
      </c>
      <c r="L28" s="64"/>
    </row>
    <row r="29" spans="1:12" ht="16.5" thickTop="1" thickBot="1">
      <c r="A29" s="43" t="str">
        <f>Ausgangssubstrate!A27</f>
        <v>Belebtschlamm, eingedickt</v>
      </c>
      <c r="B29" s="105"/>
      <c r="C29" s="105"/>
      <c r="D29" s="105"/>
      <c r="E29" s="105"/>
      <c r="F29" s="70">
        <f t="shared" si="5"/>
        <v>0</v>
      </c>
      <c r="G29" s="65">
        <f t="shared" si="6"/>
        <v>0</v>
      </c>
      <c r="H29" s="72">
        <f t="shared" si="7"/>
        <v>0</v>
      </c>
      <c r="J29" s="61">
        <f>Abbaugrad!D29</f>
        <v>0.9999999802362165</v>
      </c>
      <c r="K29" s="41">
        <f t="shared" si="8"/>
        <v>0</v>
      </c>
      <c r="L29" s="64"/>
    </row>
    <row r="30" spans="1:12" ht="15.75" thickTop="1">
      <c r="L30" s="64"/>
    </row>
    <row r="31" spans="1:12">
      <c r="A31" s="60" t="s">
        <v>465</v>
      </c>
      <c r="B31" s="85"/>
      <c r="C31" t="s">
        <v>490</v>
      </c>
      <c r="L31" s="64"/>
    </row>
    <row r="33" spans="1:11" ht="18" thickBot="1">
      <c r="A33" s="42" t="s">
        <v>491</v>
      </c>
      <c r="B33" s="42"/>
      <c r="C33" s="42"/>
      <c r="D33" s="42"/>
      <c r="E33" s="42"/>
      <c r="F33" s="42"/>
      <c r="G33" s="42"/>
      <c r="H33" s="42"/>
      <c r="I33" s="42"/>
      <c r="J33" s="42" t="s">
        <v>470</v>
      </c>
      <c r="K33" s="42"/>
    </row>
    <row r="34" spans="1:11" ht="15.75" thickTop="1"/>
    <row r="35" spans="1:11" ht="18">
      <c r="A35" s="86"/>
      <c r="B35" s="86" t="s">
        <v>209</v>
      </c>
      <c r="C35" s="86" t="s">
        <v>492</v>
      </c>
      <c r="D35" s="86" t="s">
        <v>493</v>
      </c>
      <c r="G35" s="86" t="s">
        <v>145</v>
      </c>
      <c r="H35" s="86" t="s">
        <v>70</v>
      </c>
      <c r="J35" s="86" t="s">
        <v>73</v>
      </c>
      <c r="K35" s="86" t="s">
        <v>475</v>
      </c>
    </row>
    <row r="36" spans="1:11" ht="17.25">
      <c r="A36" s="97"/>
      <c r="B36" s="95" t="s">
        <v>153</v>
      </c>
      <c r="C36" s="97" t="s">
        <v>109</v>
      </c>
      <c r="D36" s="95" t="s">
        <v>153</v>
      </c>
      <c r="G36" s="95" t="s">
        <v>215</v>
      </c>
      <c r="H36" s="99" t="s">
        <v>109</v>
      </c>
      <c r="J36" s="99" t="s">
        <v>109</v>
      </c>
      <c r="K36" s="95" t="s">
        <v>215</v>
      </c>
    </row>
    <row r="37" spans="1:11" ht="15.75" thickBot="1">
      <c r="A37" s="57" t="s">
        <v>484</v>
      </c>
      <c r="B37" s="68">
        <f>Grundlagen!B24</f>
        <v>790</v>
      </c>
      <c r="C37" s="61">
        <f>Grundlagen!$B$31</f>
        <v>0.9</v>
      </c>
      <c r="D37" s="41">
        <f>B37*C37</f>
        <v>711</v>
      </c>
      <c r="G37" s="41">
        <f>H37*K37</f>
        <v>238.129453125</v>
      </c>
      <c r="H37" s="61">
        <f>Grundlagen!B27</f>
        <v>0.5</v>
      </c>
      <c r="J37" s="61">
        <f>'Datenbank Substrate'!$O$6</f>
        <v>0.66984374999999996</v>
      </c>
      <c r="K37" s="41">
        <f>D37*J37</f>
        <v>476.25890625</v>
      </c>
    </row>
    <row r="38" spans="1:11" ht="16.5" thickTop="1" thickBot="1">
      <c r="A38" s="58" t="s">
        <v>485</v>
      </c>
      <c r="B38" s="68">
        <f>Grundlagen!B25</f>
        <v>1250</v>
      </c>
      <c r="C38" s="61">
        <f>Grundlagen!$B$31</f>
        <v>0.9</v>
      </c>
      <c r="D38" s="41">
        <f t="shared" ref="D38:D39" si="9">B38*C38</f>
        <v>1125</v>
      </c>
      <c r="G38" s="41">
        <f>H38*K38</f>
        <v>512.43046875000005</v>
      </c>
      <c r="H38" s="61">
        <f>Grundlagen!B28</f>
        <v>0.68</v>
      </c>
      <c r="J38" s="61">
        <f>'Datenbank Substrate'!$O$6</f>
        <v>0.66984374999999996</v>
      </c>
      <c r="K38" s="41">
        <f>D38*J38</f>
        <v>753.57421875</v>
      </c>
    </row>
    <row r="39" spans="1:11" ht="16.5" thickTop="1" thickBot="1">
      <c r="A39" s="57" t="s">
        <v>486</v>
      </c>
      <c r="B39" s="68">
        <f>Grundlagen!B26</f>
        <v>700</v>
      </c>
      <c r="C39" s="61">
        <f>Grundlagen!$B$31</f>
        <v>0.9</v>
      </c>
      <c r="D39" s="41">
        <f t="shared" si="9"/>
        <v>630</v>
      </c>
      <c r="G39" s="41">
        <f>H39*K39</f>
        <v>299.62110937499995</v>
      </c>
      <c r="H39" s="61">
        <f>Grundlagen!B29</f>
        <v>0.71</v>
      </c>
      <c r="J39" s="61">
        <f>'Datenbank Substrate'!$O$6</f>
        <v>0.66984374999999996</v>
      </c>
      <c r="K39" s="41">
        <f>D39*J39</f>
        <v>422.00156249999998</v>
      </c>
    </row>
    <row r="40" spans="1:11" ht="15.75" thickTop="1"/>
  </sheetData>
  <conditionalFormatting sqref="F8:F29">
    <cfRule type="cellIs" dxfId="3" priority="1" operator="lessThan">
      <formula>1</formula>
    </cfRule>
    <cfRule type="cellIs" dxfId="2" priority="2" operator="equal">
      <formula>1</formula>
    </cfRule>
  </conditionalFormatting>
  <dataValidations count="1">
    <dataValidation allowBlank="1" showInputMessage="1" showErrorMessage="1" promptTitle="Massenanteil" prompt="Massenanteil von 1 eingeben." sqref="B8:E29" xr:uid="{50E4812F-9A1A-4243-8913-D108220ED347}"/>
  </dataValidations>
  <pageMargins left="0.7" right="0.7" top="0.78740157499999996" bottom="0.85144927536231885" header="0.3" footer="0.3"/>
  <pageSetup paperSize="9" orientation="portrait" horizontalDpi="1200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D449-2ACC-4291-A8EC-3DD4AC8026E0}">
  <sheetPr>
    <tabColor theme="7" tint="0.59999389629810485"/>
  </sheetPr>
  <dimension ref="A1:J32"/>
  <sheetViews>
    <sheetView zoomScale="85" zoomScaleNormal="85" zoomScalePageLayoutView="85" workbookViewId="0">
      <selection activeCell="F28" sqref="F28"/>
    </sheetView>
  </sheetViews>
  <sheetFormatPr defaultColWidth="11.42578125" defaultRowHeight="15"/>
  <cols>
    <col min="1" max="1" width="27.85546875" style="9" customWidth="1"/>
    <col min="2" max="2" width="17.28515625" style="8" bestFit="1" customWidth="1"/>
    <col min="3" max="3" width="27.5703125" style="8" bestFit="1" customWidth="1"/>
    <col min="4" max="4" width="27.5703125" style="9" customWidth="1"/>
    <col min="5" max="5" width="2.85546875" style="9" customWidth="1"/>
    <col min="6" max="6" width="27.5703125" style="8" customWidth="1"/>
    <col min="7" max="7" width="39.85546875" style="9" bestFit="1" customWidth="1"/>
    <col min="8" max="9" width="9.85546875" style="9" bestFit="1" customWidth="1"/>
    <col min="11" max="16384" width="11.42578125" style="9"/>
  </cols>
  <sheetData>
    <row r="1" spans="1:10" customFormat="1" ht="45" customHeight="1">
      <c r="A1" s="26"/>
      <c r="C1" s="20"/>
      <c r="D1" s="20"/>
      <c r="E1" s="6"/>
      <c r="F1" s="4"/>
      <c r="G1" s="20"/>
      <c r="H1" s="3"/>
    </row>
    <row r="2" spans="1:10" customFormat="1" ht="20.25" thickBot="1">
      <c r="A2" s="24" t="s">
        <v>494</v>
      </c>
      <c r="B2" s="24"/>
      <c r="C2" s="24"/>
      <c r="D2" s="24"/>
      <c r="F2" s="24"/>
      <c r="G2" s="24"/>
    </row>
    <row r="3" spans="1:10" customFormat="1" ht="15.75" thickTop="1"/>
    <row r="4" spans="1:10" ht="18" thickBot="1">
      <c r="A4" s="42" t="s">
        <v>495</v>
      </c>
      <c r="B4" s="42"/>
      <c r="C4" s="42"/>
      <c r="D4" s="42"/>
      <c r="F4" s="42"/>
      <c r="G4" s="42"/>
    </row>
    <row r="5" spans="1:10" ht="15.75" thickTop="1">
      <c r="A5" s="19"/>
      <c r="B5"/>
      <c r="C5"/>
      <c r="D5"/>
      <c r="F5"/>
      <c r="G5"/>
    </row>
    <row r="6" spans="1:10">
      <c r="A6" t="s">
        <v>496</v>
      </c>
      <c r="B6" s="19" t="s">
        <v>55</v>
      </c>
      <c r="C6"/>
      <c r="D6"/>
      <c r="F6"/>
      <c r="G6"/>
    </row>
    <row r="7" spans="1:10">
      <c r="A7" s="19"/>
      <c r="B7"/>
      <c r="C7"/>
      <c r="D7"/>
      <c r="F7"/>
      <c r="G7"/>
    </row>
    <row r="8" spans="1:10" ht="18" thickBot="1">
      <c r="A8" s="42" t="s">
        <v>497</v>
      </c>
      <c r="B8" s="42"/>
      <c r="C8" s="42"/>
      <c r="D8" s="42"/>
      <c r="F8" s="42"/>
      <c r="G8" s="42"/>
      <c r="J8" s="9"/>
    </row>
    <row r="9" spans="1:10" ht="15.75" thickTop="1">
      <c r="A9" s="19"/>
      <c r="B9"/>
      <c r="C9"/>
      <c r="D9"/>
      <c r="F9"/>
      <c r="G9"/>
    </row>
    <row r="10" spans="1:10">
      <c r="A10" t="s">
        <v>498</v>
      </c>
      <c r="B10" t="s">
        <v>499</v>
      </c>
      <c r="C10" s="45"/>
      <c r="F10" s="19"/>
      <c r="J10" s="9"/>
    </row>
    <row r="11" spans="1:10">
      <c r="A11" t="s">
        <v>500</v>
      </c>
      <c r="B11" t="s">
        <v>501</v>
      </c>
      <c r="C11" s="45"/>
      <c r="F11" s="19"/>
      <c r="J11" s="9"/>
    </row>
    <row r="12" spans="1:10">
      <c r="A12" t="s">
        <v>502</v>
      </c>
      <c r="B12" t="s">
        <v>503</v>
      </c>
      <c r="C12" s="45"/>
      <c r="F12" s="19"/>
      <c r="J12" s="9"/>
    </row>
    <row r="13" spans="1:10">
      <c r="A13" t="s">
        <v>504</v>
      </c>
      <c r="B13" t="s">
        <v>505</v>
      </c>
      <c r="C13" s="45"/>
      <c r="F13" s="19"/>
      <c r="J13" s="9"/>
    </row>
    <row r="14" spans="1:10">
      <c r="A14" t="s">
        <v>506</v>
      </c>
      <c r="B14" t="s">
        <v>507</v>
      </c>
      <c r="C14" s="45"/>
      <c r="F14" s="19"/>
      <c r="J14" s="9"/>
    </row>
    <row r="15" spans="1:10">
      <c r="A15"/>
      <c r="B15"/>
      <c r="C15" s="46"/>
      <c r="F15" s="19"/>
      <c r="J15" s="9"/>
    </row>
    <row r="16" spans="1:10" ht="18" thickBot="1">
      <c r="A16" s="42" t="s">
        <v>508</v>
      </c>
      <c r="B16" s="42"/>
      <c r="C16" s="42"/>
      <c r="D16" s="42" t="s">
        <v>482</v>
      </c>
      <c r="F16" s="42"/>
      <c r="G16" s="42"/>
      <c r="J16" s="9"/>
    </row>
    <row r="17" spans="1:10" ht="15.75" thickTop="1">
      <c r="A17" s="19"/>
      <c r="B17"/>
      <c r="C17"/>
      <c r="D17"/>
      <c r="F17"/>
      <c r="G17"/>
    </row>
    <row r="18" spans="1:10" ht="15.75">
      <c r="A18" s="86"/>
      <c r="B18" s="86"/>
      <c r="C18" s="86" t="s">
        <v>509</v>
      </c>
      <c r="D18" s="86" t="s">
        <v>510</v>
      </c>
      <c r="F18" s="86" t="s">
        <v>511</v>
      </c>
      <c r="G18" s="86" t="s">
        <v>512</v>
      </c>
      <c r="J18" s="9"/>
    </row>
    <row r="19" spans="1:10">
      <c r="A19" s="95"/>
      <c r="B19" s="95"/>
      <c r="C19" s="95" t="s">
        <v>109</v>
      </c>
      <c r="D19" s="95" t="s">
        <v>128</v>
      </c>
      <c r="F19" s="95" t="s">
        <v>109</v>
      </c>
      <c r="G19" s="95" t="s">
        <v>109</v>
      </c>
      <c r="J19" s="9"/>
    </row>
    <row r="20" spans="1:10" ht="18.75" thickBot="1">
      <c r="A20" t="s">
        <v>513</v>
      </c>
      <c r="B20" t="s">
        <v>514</v>
      </c>
      <c r="C20" s="102">
        <f>(4*C10+C11-2*C12-3*C13-2*C14)/8</f>
        <v>0</v>
      </c>
      <c r="D20" s="146" t="e">
        <f>G20/$G$24</f>
        <v>#DIV/0!</v>
      </c>
      <c r="F20" s="176">
        <f>Grundlagen!B37</f>
        <v>1</v>
      </c>
      <c r="G20" s="39">
        <f>F20*C20</f>
        <v>0</v>
      </c>
      <c r="J20" s="9"/>
    </row>
    <row r="21" spans="1:10" ht="19.5" thickTop="1" thickBot="1">
      <c r="A21" t="s">
        <v>515</v>
      </c>
      <c r="B21" t="s">
        <v>516</v>
      </c>
      <c r="C21" s="102">
        <f>(4*C10-C11+2*C12+3*C13+2*C14)/8</f>
        <v>0</v>
      </c>
      <c r="D21" s="104" t="e">
        <f>G21/$G$24</f>
        <v>#DIV/0!</v>
      </c>
      <c r="F21" s="176">
        <f>Grundlagen!B38</f>
        <v>1</v>
      </c>
      <c r="G21" s="39">
        <f>F21*C21</f>
        <v>0</v>
      </c>
      <c r="J21" s="9"/>
    </row>
    <row r="22" spans="1:10" ht="19.5" thickTop="1" thickBot="1">
      <c r="A22" t="s">
        <v>517</v>
      </c>
      <c r="B22" t="s">
        <v>518</v>
      </c>
      <c r="C22" s="102">
        <f>C13</f>
        <v>0</v>
      </c>
      <c r="D22" s="104" t="e">
        <f>G22/$G$24</f>
        <v>#DIV/0!</v>
      </c>
      <c r="F22" s="176">
        <f>Grundlagen!B39</f>
        <v>1</v>
      </c>
      <c r="G22" s="39">
        <f>F22*C22</f>
        <v>0</v>
      </c>
      <c r="J22" s="9"/>
    </row>
    <row r="23" spans="1:10" ht="19.5" thickTop="1" thickBot="1">
      <c r="A23" t="s">
        <v>519</v>
      </c>
      <c r="B23" t="s">
        <v>520</v>
      </c>
      <c r="C23" s="102">
        <f>C14</f>
        <v>0</v>
      </c>
      <c r="D23" s="104" t="e">
        <f>G23/$G$24</f>
        <v>#DIV/0!</v>
      </c>
      <c r="F23" s="176">
        <f>Grundlagen!B40</f>
        <v>1</v>
      </c>
      <c r="G23" s="39">
        <f>F23*C23</f>
        <v>0</v>
      </c>
      <c r="J23" s="9"/>
    </row>
    <row r="24" spans="1:10" ht="15.75" thickTop="1">
      <c r="A24"/>
      <c r="B24" s="15" t="s">
        <v>521</v>
      </c>
      <c r="C24" s="103" t="s">
        <v>487</v>
      </c>
      <c r="D24" s="147" t="e">
        <f>SUM(D20:D23)</f>
        <v>#DIV/0!</v>
      </c>
      <c r="F24" s="19"/>
      <c r="G24" s="47">
        <f>SUM(G20:G23)</f>
        <v>0</v>
      </c>
      <c r="J24" s="9"/>
    </row>
    <row r="25" spans="1:10">
      <c r="A25"/>
      <c r="B25" s="44"/>
      <c r="C25" s="44"/>
      <c r="J25" s="9"/>
    </row>
    <row r="26" spans="1:10">
      <c r="A26" s="60" t="s">
        <v>522</v>
      </c>
      <c r="B26" s="85"/>
      <c r="C26" t="s">
        <v>523</v>
      </c>
      <c r="F26" s="19"/>
      <c r="J26" s="9"/>
    </row>
    <row r="27" spans="1:10" ht="12.75">
      <c r="A27" s="8"/>
      <c r="J27" s="9"/>
    </row>
    <row r="28" spans="1:10" ht="12.75">
      <c r="J28" s="9"/>
    </row>
    <row r="29" spans="1:10" ht="12.75">
      <c r="J29" s="9"/>
    </row>
    <row r="32" spans="1:10">
      <c r="A32" s="33"/>
    </row>
  </sheetData>
  <conditionalFormatting sqref="D24">
    <cfRule type="cellIs" dxfId="1" priority="1" operator="lessThan">
      <formula>1</formula>
    </cfRule>
    <cfRule type="cellIs" dxfId="0" priority="2" operator="equal">
      <formula>1</formula>
    </cfRule>
  </conditionalFormatting>
  <dataValidations count="1">
    <dataValidation allowBlank="1" showInputMessage="1" showErrorMessage="1" promptTitle="Anteil" prompt="Stöchiometrischer Anteil angeben. " sqref="C10:C14" xr:uid="{F5713899-A3D0-4F48-BCE7-94F4ADB7D7ED}"/>
  </dataValidations>
  <hyperlinks>
    <hyperlink ref="B6" r:id="rId1" xr:uid="{339E28BE-8AEF-46A2-AE04-D907B7613A74}"/>
  </hyperlinks>
  <pageMargins left="0.7" right="0.7" top="0.78740157499999996" bottom="0.85144927536231885" header="0.3" footer="0.3"/>
  <pageSetup paperSize="9" orientation="landscape" verticalDpi="1200" r:id="rId2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FCA9-837B-41E6-A9B0-DDC080715070}">
  <sheetPr>
    <tabColor theme="7" tint="0.59999389629810485"/>
  </sheetPr>
  <dimension ref="A1:H32"/>
  <sheetViews>
    <sheetView zoomScaleNormal="100" workbookViewId="0">
      <pane ySplit="7" topLeftCell="A20" activePane="bottomLeft" state="frozen"/>
      <selection pane="bottomLeft" activeCell="J30" sqref="J30"/>
    </sheetView>
  </sheetViews>
  <sheetFormatPr defaultColWidth="11.42578125" defaultRowHeight="15"/>
  <cols>
    <col min="1" max="1" width="52.140625" bestFit="1" customWidth="1"/>
    <col min="2" max="4" width="14.85546875" customWidth="1"/>
    <col min="5" max="5" width="2.85546875" customWidth="1"/>
    <col min="6" max="6" width="14.85546875" customWidth="1"/>
    <col min="9" max="9" width="11.140625" bestFit="1" customWidth="1"/>
    <col min="14" max="14" width="106.42578125" bestFit="1" customWidth="1"/>
  </cols>
  <sheetData>
    <row r="1" spans="1:8" ht="45" customHeight="1">
      <c r="A1" s="26"/>
      <c r="C1" s="20"/>
      <c r="D1" s="20"/>
      <c r="E1" s="6"/>
      <c r="F1" s="4"/>
      <c r="G1" s="20"/>
      <c r="H1" s="3"/>
    </row>
    <row r="2" spans="1:8" ht="20.25" thickBot="1">
      <c r="A2" s="24" t="s">
        <v>73</v>
      </c>
      <c r="B2" s="24"/>
      <c r="C2" s="24"/>
      <c r="D2" s="24"/>
      <c r="F2" s="24"/>
    </row>
    <row r="3" spans="1:8" ht="15.75" thickTop="1"/>
    <row r="4" spans="1:8" ht="18" thickBot="1">
      <c r="A4" s="42" t="s">
        <v>481</v>
      </c>
      <c r="B4" s="42"/>
      <c r="C4" s="42"/>
      <c r="D4" s="42" t="s">
        <v>482</v>
      </c>
      <c r="F4" s="42" t="s">
        <v>470</v>
      </c>
    </row>
    <row r="5" spans="1:8" ht="15.75" thickTop="1"/>
    <row r="6" spans="1:8" ht="18">
      <c r="A6" s="86" t="s">
        <v>201</v>
      </c>
      <c r="B6" s="86" t="s">
        <v>145</v>
      </c>
      <c r="C6" s="86" t="s">
        <v>211</v>
      </c>
      <c r="D6" s="86" t="s">
        <v>73</v>
      </c>
      <c r="F6" s="86" t="s">
        <v>524</v>
      </c>
    </row>
    <row r="7" spans="1:8" ht="17.25">
      <c r="A7" s="95"/>
      <c r="B7" s="95" t="s">
        <v>153</v>
      </c>
      <c r="C7" s="95" t="s">
        <v>109</v>
      </c>
      <c r="D7" s="95" t="s">
        <v>109</v>
      </c>
      <c r="F7" s="95" t="s">
        <v>153</v>
      </c>
    </row>
    <row r="8" spans="1:8" ht="15.75" thickBot="1">
      <c r="A8" s="43" t="str">
        <f>Ausgangssubstrate!A6</f>
        <v>Belebtschlamm, eingedickt</v>
      </c>
      <c r="B8" s="149">
        <f>Ausgangssubstrate!F6</f>
        <v>188.57</v>
      </c>
      <c r="C8" s="61">
        <f>VLOOKUP(A8,'Datenbank Substrate'!$A$13:$V$103,17,FALSE)</f>
        <v>0.13</v>
      </c>
      <c r="D8" s="148">
        <f t="shared" ref="D8:D29" si="0">F8/B8</f>
        <v>0.9999999802362165</v>
      </c>
      <c r="F8" s="41">
        <f>(1-(1*EXP(-C8*Verweilzeit!$B$14)))*B8</f>
        <v>188.56999627314335</v>
      </c>
      <c r="G8" s="31"/>
    </row>
    <row r="9" spans="1:8" ht="16.5" thickTop="1" thickBot="1">
      <c r="A9" s="43" t="str">
        <f>Ausgangssubstrate!A7</f>
        <v>Belebtschlamm, eingedickt</v>
      </c>
      <c r="B9" s="149">
        <f>Ausgangssubstrate!F7</f>
        <v>188.57</v>
      </c>
      <c r="C9" s="61">
        <f>VLOOKUP(A9,'Datenbank Substrate'!$A$13:$V$103,17,FALSE)</f>
        <v>0.13</v>
      </c>
      <c r="D9" s="148">
        <f t="shared" si="0"/>
        <v>0.9999999802362165</v>
      </c>
      <c r="F9" s="41">
        <f>(1-(1*EXP(-C9*Verweilzeit!$B$14)))*B9</f>
        <v>188.56999627314335</v>
      </c>
    </row>
    <row r="10" spans="1:8" ht="16.5" thickTop="1" thickBot="1">
      <c r="A10" s="43" t="str">
        <f>Ausgangssubstrate!A8</f>
        <v>Belebtschlamm, eingedickt</v>
      </c>
      <c r="B10" s="149">
        <f>Ausgangssubstrate!F8</f>
        <v>188.57</v>
      </c>
      <c r="C10" s="61">
        <f>VLOOKUP(A10,'Datenbank Substrate'!$A$13:$V$103,17,FALSE)</f>
        <v>0.13</v>
      </c>
      <c r="D10" s="148">
        <f t="shared" si="0"/>
        <v>0.9999999802362165</v>
      </c>
      <c r="F10" s="41">
        <f>(1-(1*EXP(-C10*Verweilzeit!$B$14)))*B10</f>
        <v>188.56999627314335</v>
      </c>
    </row>
    <row r="11" spans="1:8" ht="16.5" thickTop="1" thickBot="1">
      <c r="A11" s="43" t="str">
        <f>Ausgangssubstrate!A9</f>
        <v>Belebtschlamm, eingedickt</v>
      </c>
      <c r="B11" s="149">
        <f>Ausgangssubstrate!F9</f>
        <v>188.57</v>
      </c>
      <c r="C11" s="61">
        <f>VLOOKUP(A11,'Datenbank Substrate'!$A$13:$V$103,17,FALSE)</f>
        <v>0.13</v>
      </c>
      <c r="D11" s="148">
        <f>F11/B11</f>
        <v>0.9999999802362165</v>
      </c>
      <c r="F11" s="41">
        <f>(1-(1*EXP(-C11*Verweilzeit!$B$14)))*B11</f>
        <v>188.56999627314335</v>
      </c>
    </row>
    <row r="12" spans="1:8" ht="16.5" thickTop="1" thickBot="1">
      <c r="A12" s="43" t="str">
        <f>Ausgangssubstrate!A10</f>
        <v>Belebtschlamm, eingedickt</v>
      </c>
      <c r="B12" s="149">
        <f>Ausgangssubstrate!F10</f>
        <v>188.57</v>
      </c>
      <c r="C12" s="61">
        <f>VLOOKUP(A12,'Datenbank Substrate'!$A$13:$V$103,17,FALSE)</f>
        <v>0.13</v>
      </c>
      <c r="D12" s="148">
        <f t="shared" si="0"/>
        <v>0.9999999802362165</v>
      </c>
      <c r="F12" s="41">
        <f>(1-(1*EXP(-C12*Verweilzeit!$B$14)))*B12</f>
        <v>188.56999627314335</v>
      </c>
    </row>
    <row r="13" spans="1:8" ht="16.5" thickTop="1" thickBot="1">
      <c r="A13" s="43" t="str">
        <f>Ausgangssubstrate!A11</f>
        <v>Belebtschlamm, eingedickt</v>
      </c>
      <c r="B13" s="149">
        <f>Ausgangssubstrate!F11</f>
        <v>188.57</v>
      </c>
      <c r="C13" s="61">
        <f>VLOOKUP(A13,'Datenbank Substrate'!$A$13:$V$103,17,FALSE)</f>
        <v>0.13</v>
      </c>
      <c r="D13" s="148">
        <f t="shared" si="0"/>
        <v>0.9999999802362165</v>
      </c>
      <c r="F13" s="41">
        <f>(1-(1*EXP(-C13*Verweilzeit!$B$14)))*B13</f>
        <v>188.56999627314335</v>
      </c>
    </row>
    <row r="14" spans="1:8" ht="16.5" thickTop="1" thickBot="1">
      <c r="A14" s="43" t="str">
        <f>Ausgangssubstrate!A12</f>
        <v>Belebtschlamm, eingedickt</v>
      </c>
      <c r="B14" s="149">
        <f>Ausgangssubstrate!F12</f>
        <v>350</v>
      </c>
      <c r="C14" s="61">
        <f>VLOOKUP(A14,'Datenbank Substrate'!$A$13:$V$103,17,FALSE)</f>
        <v>0.13</v>
      </c>
      <c r="D14" s="148">
        <f t="shared" si="0"/>
        <v>0.99999998023621661</v>
      </c>
      <c r="F14" s="41">
        <f>(1-(1*EXP(-C14*Verweilzeit!$B$14)))*B14</f>
        <v>349.99999308267581</v>
      </c>
    </row>
    <row r="15" spans="1:8" ht="16.5" thickTop="1" thickBot="1">
      <c r="A15" s="43" t="str">
        <f>Ausgangssubstrate!A13</f>
        <v>Belebtschlamm, eingedickt</v>
      </c>
      <c r="B15" s="149">
        <f>Ausgangssubstrate!F13</f>
        <v>188.57</v>
      </c>
      <c r="C15" s="61">
        <f>VLOOKUP(A15,'Datenbank Substrate'!$A$13:$V$103,17,FALSE)</f>
        <v>0.13</v>
      </c>
      <c r="D15" s="148">
        <f t="shared" si="0"/>
        <v>0.9999999802362165</v>
      </c>
      <c r="F15" s="41">
        <f>(1-(1*EXP(-C15*Verweilzeit!$B$14)))*B15</f>
        <v>188.56999627314335</v>
      </c>
    </row>
    <row r="16" spans="1:8" ht="16.5" thickTop="1" thickBot="1">
      <c r="A16" s="43" t="str">
        <f>Ausgangssubstrate!A14</f>
        <v>Belebtschlamm, eingedickt</v>
      </c>
      <c r="B16" s="149">
        <f>Ausgangssubstrate!F14</f>
        <v>188.57</v>
      </c>
      <c r="C16" s="61">
        <f>VLOOKUP(A16,'Datenbank Substrate'!$A$13:$V$103,17,FALSE)</f>
        <v>0.13</v>
      </c>
      <c r="D16" s="148">
        <f t="shared" si="0"/>
        <v>0.9999999802362165</v>
      </c>
      <c r="F16" s="41">
        <f>(1-(1*EXP(-C16*Verweilzeit!$B$14)))*B16</f>
        <v>188.56999627314335</v>
      </c>
    </row>
    <row r="17" spans="1:6" ht="16.5" thickTop="1" thickBot="1">
      <c r="A17" s="43" t="str">
        <f>Ausgangssubstrate!A15</f>
        <v>Belebtschlamm, eingedickt</v>
      </c>
      <c r="B17" s="149">
        <f>Ausgangssubstrate!F15</f>
        <v>188.57</v>
      </c>
      <c r="C17" s="61">
        <f>VLOOKUP(A17,'Datenbank Substrate'!$A$13:$V$103,17,FALSE)</f>
        <v>0.13</v>
      </c>
      <c r="D17" s="148">
        <f t="shared" si="0"/>
        <v>0.9999999802362165</v>
      </c>
      <c r="F17" s="41">
        <f>(1-(1*EXP(-C17*Verweilzeit!$B$14)))*B17</f>
        <v>188.56999627314335</v>
      </c>
    </row>
    <row r="18" spans="1:6" ht="16.5" thickTop="1" thickBot="1">
      <c r="A18" s="43" t="str">
        <f>Ausgangssubstrate!A16</f>
        <v>Belebtschlamm, eingedickt</v>
      </c>
      <c r="B18" s="149">
        <f>Ausgangssubstrate!F16</f>
        <v>188.57</v>
      </c>
      <c r="C18" s="61">
        <f>VLOOKUP(A18,'Datenbank Substrate'!$A$13:$V$103,17,FALSE)</f>
        <v>0.13</v>
      </c>
      <c r="D18" s="148">
        <f t="shared" si="0"/>
        <v>0.9999999802362165</v>
      </c>
      <c r="F18" s="41">
        <f>(1-(1*EXP(-C18*Verweilzeit!$B$14)))*B18</f>
        <v>188.56999627314335</v>
      </c>
    </row>
    <row r="19" spans="1:6" ht="16.5" thickTop="1" thickBot="1">
      <c r="A19" s="43" t="str">
        <f>Ausgangssubstrate!A17</f>
        <v>Belebtschlamm, eingedickt</v>
      </c>
      <c r="B19" s="149">
        <f>Ausgangssubstrate!F17</f>
        <v>188.57</v>
      </c>
      <c r="C19" s="61">
        <f>VLOOKUP(A19,'Datenbank Substrate'!$A$13:$V$103,17,FALSE)</f>
        <v>0.13</v>
      </c>
      <c r="D19" s="148">
        <f t="shared" si="0"/>
        <v>0.9999999802362165</v>
      </c>
      <c r="F19" s="41">
        <f>(1-(1*EXP(-C19*Verweilzeit!$B$14)))*B19</f>
        <v>188.56999627314335</v>
      </c>
    </row>
    <row r="20" spans="1:6" ht="16.5" thickTop="1" thickBot="1">
      <c r="A20" s="43" t="str">
        <f>Ausgangssubstrate!A18</f>
        <v>Belebtschlamm, eingedickt</v>
      </c>
      <c r="B20" s="149">
        <f>Ausgangssubstrate!F18</f>
        <v>188.57</v>
      </c>
      <c r="C20" s="61">
        <f>VLOOKUP(A20,'Datenbank Substrate'!$A$13:$V$103,17,FALSE)</f>
        <v>0.13</v>
      </c>
      <c r="D20" s="148">
        <f t="shared" si="0"/>
        <v>0.9999999802362165</v>
      </c>
      <c r="F20" s="41">
        <f>(1-(1*EXP(-C20*Verweilzeit!$B$14)))*B20</f>
        <v>188.56999627314335</v>
      </c>
    </row>
    <row r="21" spans="1:6" ht="16.5" thickTop="1" thickBot="1">
      <c r="A21" s="43" t="str">
        <f>Ausgangssubstrate!A19</f>
        <v>Belebtschlamm, eingedickt</v>
      </c>
      <c r="B21" s="149">
        <f>Ausgangssubstrate!F19</f>
        <v>188.57</v>
      </c>
      <c r="C21" s="61">
        <f>VLOOKUP(A21,'Datenbank Substrate'!$A$13:$V$103,17,FALSE)</f>
        <v>0.13</v>
      </c>
      <c r="D21" s="148">
        <f t="shared" si="0"/>
        <v>0.9999999802362165</v>
      </c>
      <c r="F21" s="41">
        <f>(1-(1*EXP(-C21*Verweilzeit!$B$14)))*B21</f>
        <v>188.56999627314335</v>
      </c>
    </row>
    <row r="22" spans="1:6" ht="16.5" thickTop="1" thickBot="1">
      <c r="A22" s="43" t="str">
        <f>Ausgangssubstrate!A20</f>
        <v>Belebtschlamm, eingedickt</v>
      </c>
      <c r="B22" s="149">
        <f>Ausgangssubstrate!F20</f>
        <v>188.57</v>
      </c>
      <c r="C22" s="61">
        <f>VLOOKUP(A22,'Datenbank Substrate'!$A$13:$V$103,17,FALSE)</f>
        <v>0.13</v>
      </c>
      <c r="D22" s="148">
        <f t="shared" si="0"/>
        <v>0.9999999802362165</v>
      </c>
      <c r="F22" s="41">
        <f>(1-(1*EXP(-C22*Verweilzeit!$B$14)))*B22</f>
        <v>188.56999627314335</v>
      </c>
    </row>
    <row r="23" spans="1:6" ht="16.5" thickTop="1" thickBot="1">
      <c r="A23" s="43" t="str">
        <f>Ausgangssubstrate!A21</f>
        <v>Belebtschlamm, eingedickt</v>
      </c>
      <c r="B23" s="149">
        <f>Ausgangssubstrate!F21</f>
        <v>188.57</v>
      </c>
      <c r="C23" s="61">
        <f>VLOOKUP(A23,'Datenbank Substrate'!$A$13:$V$103,17,FALSE)</f>
        <v>0.13</v>
      </c>
      <c r="D23" s="148">
        <f t="shared" si="0"/>
        <v>0.9999999802362165</v>
      </c>
      <c r="F23" s="41">
        <f>(1-(1*EXP(-C23*Verweilzeit!$B$14)))*B23</f>
        <v>188.56999627314335</v>
      </c>
    </row>
    <row r="24" spans="1:6" ht="16.5" thickTop="1" thickBot="1">
      <c r="A24" s="43" t="str">
        <f>Ausgangssubstrate!A22</f>
        <v>Belebtschlamm, eingedickt</v>
      </c>
      <c r="B24" s="149">
        <f>Ausgangssubstrate!F22</f>
        <v>188.57</v>
      </c>
      <c r="C24" s="61">
        <f>VLOOKUP(A24,'Datenbank Substrate'!$A$13:$V$103,17,FALSE)</f>
        <v>0.13</v>
      </c>
      <c r="D24" s="148">
        <f t="shared" si="0"/>
        <v>0.9999999802362165</v>
      </c>
      <c r="F24" s="41">
        <f>(1-(1*EXP(-C24*Verweilzeit!$B$14)))*B24</f>
        <v>188.56999627314335</v>
      </c>
    </row>
    <row r="25" spans="1:6" ht="16.5" thickTop="1" thickBot="1">
      <c r="A25" s="43" t="str">
        <f>Ausgangssubstrate!A23</f>
        <v>Belebtschlamm, eingedickt</v>
      </c>
      <c r="B25" s="149">
        <f>Ausgangssubstrate!F23</f>
        <v>188.57</v>
      </c>
      <c r="C25" s="61">
        <f>VLOOKUP(A25,'Datenbank Substrate'!$A$13:$V$103,17,FALSE)</f>
        <v>0.13</v>
      </c>
      <c r="D25" s="148">
        <f t="shared" si="0"/>
        <v>0.9999999802362165</v>
      </c>
      <c r="F25" s="41">
        <f>(1-(1*EXP(-C25*Verweilzeit!$B$14)))*B25</f>
        <v>188.56999627314335</v>
      </c>
    </row>
    <row r="26" spans="1:6" ht="16.5" thickTop="1" thickBot="1">
      <c r="A26" s="43" t="str">
        <f>Ausgangssubstrate!A24</f>
        <v>Belebtschlamm, eingedickt</v>
      </c>
      <c r="B26" s="149">
        <f>Ausgangssubstrate!F24</f>
        <v>188.57</v>
      </c>
      <c r="C26" s="61">
        <f>VLOOKUP(A26,'Datenbank Substrate'!$A$13:$V$103,17,FALSE)</f>
        <v>0.13</v>
      </c>
      <c r="D26" s="148">
        <f t="shared" si="0"/>
        <v>0.9999999802362165</v>
      </c>
      <c r="F26" s="41">
        <f>(1-(1*EXP(-C26*Verweilzeit!$B$14)))*B26</f>
        <v>188.56999627314335</v>
      </c>
    </row>
    <row r="27" spans="1:6" ht="16.5" thickTop="1" thickBot="1">
      <c r="A27" s="43" t="str">
        <f>Ausgangssubstrate!A25</f>
        <v>Belebtschlamm, eingedickt</v>
      </c>
      <c r="B27" s="149">
        <f>Ausgangssubstrate!F25</f>
        <v>188.57</v>
      </c>
      <c r="C27" s="61">
        <f>VLOOKUP(A27,'Datenbank Substrate'!$A$13:$V$103,17,FALSE)</f>
        <v>0.13</v>
      </c>
      <c r="D27" s="148">
        <f t="shared" si="0"/>
        <v>0.9999999802362165</v>
      </c>
      <c r="F27" s="41">
        <f>(1-(1*EXP(-C27*Verweilzeit!$B$14)))*B27</f>
        <v>188.56999627314335</v>
      </c>
    </row>
    <row r="28" spans="1:6" ht="16.5" thickTop="1" thickBot="1">
      <c r="A28" s="43" t="str">
        <f>Ausgangssubstrate!A26</f>
        <v>Belebtschlamm, eingedickt</v>
      </c>
      <c r="B28" s="149">
        <f>Ausgangssubstrate!F26</f>
        <v>188.57</v>
      </c>
      <c r="C28" s="61">
        <f>VLOOKUP(A28,'Datenbank Substrate'!$A$13:$V$103,17,FALSE)</f>
        <v>0.13</v>
      </c>
      <c r="D28" s="148">
        <f t="shared" si="0"/>
        <v>0.9999999802362165</v>
      </c>
      <c r="F28" s="41">
        <f>(1-(1*EXP(-C28*Verweilzeit!$B$14)))*B28</f>
        <v>188.56999627314335</v>
      </c>
    </row>
    <row r="29" spans="1:6" ht="16.5" thickTop="1" thickBot="1">
      <c r="A29" s="43" t="str">
        <f>Ausgangssubstrate!A27</f>
        <v>Belebtschlamm, eingedickt</v>
      </c>
      <c r="B29" s="149">
        <f>Ausgangssubstrate!F27</f>
        <v>188.57</v>
      </c>
      <c r="C29" s="61">
        <f>VLOOKUP(A29,'Datenbank Substrate'!$A$13:$V$103,17,FALSE)</f>
        <v>0.13</v>
      </c>
      <c r="D29" s="148">
        <f t="shared" si="0"/>
        <v>0.9999999802362165</v>
      </c>
      <c r="F29" s="41">
        <f>(1-(1*EXP(-C29*Verweilzeit!$B$14)))*B29</f>
        <v>188.56999627314335</v>
      </c>
    </row>
    <row r="30" spans="1:6" ht="15.75" thickTop="1"/>
    <row r="31" spans="1:6">
      <c r="A31" s="60" t="s">
        <v>525</v>
      </c>
      <c r="B31" s="85"/>
      <c r="C31" t="s">
        <v>526</v>
      </c>
    </row>
    <row r="32" spans="1:6">
      <c r="A32" s="60" t="s">
        <v>527</v>
      </c>
      <c r="B32" s="85"/>
      <c r="D32" s="9"/>
    </row>
  </sheetData>
  <dataConsolidate/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U66"/>
  <sheetViews>
    <sheetView showWhiteSpace="0" topLeftCell="C1" zoomScale="64" zoomScaleNormal="100" zoomScalePageLayoutView="115" workbookViewId="0">
      <selection activeCell="C4" sqref="C4"/>
    </sheetView>
  </sheetViews>
  <sheetFormatPr defaultColWidth="11.42578125" defaultRowHeight="12.75"/>
  <cols>
    <col min="1" max="1" width="25.5703125" style="9" bestFit="1" customWidth="1"/>
    <col min="2" max="3" width="24" style="8" bestFit="1" customWidth="1"/>
    <col min="4" max="4" width="23.28515625" style="8" bestFit="1" customWidth="1"/>
    <col min="5" max="5" width="24" style="9" bestFit="1" customWidth="1"/>
    <col min="6" max="6" width="24.85546875" style="9" bestFit="1" customWidth="1"/>
    <col min="7" max="8" width="25.42578125" style="9" bestFit="1" customWidth="1"/>
    <col min="9" max="10" width="14.85546875" style="9" bestFit="1" customWidth="1"/>
    <col min="11" max="12" width="16.85546875" style="9" bestFit="1" customWidth="1"/>
    <col min="13" max="13" width="17.140625" style="9" bestFit="1" customWidth="1"/>
    <col min="14" max="14" width="25.140625" style="9" bestFit="1" customWidth="1"/>
    <col min="15" max="16" width="17.85546875" style="9" bestFit="1" customWidth="1"/>
    <col min="17" max="17" width="18" style="9" bestFit="1" customWidth="1"/>
    <col min="18" max="20" width="18" style="9" customWidth="1"/>
    <col min="21" max="21" width="22.85546875" style="9" bestFit="1" customWidth="1"/>
    <col min="22" max="16384" width="11.42578125" style="9"/>
  </cols>
  <sheetData>
    <row r="1" spans="1:21" customFormat="1" ht="45" customHeight="1">
      <c r="A1" s="26"/>
      <c r="C1" s="20"/>
      <c r="D1" s="20"/>
      <c r="E1" s="6"/>
      <c r="F1" s="4"/>
      <c r="G1" s="20"/>
      <c r="H1" s="3"/>
    </row>
    <row r="2" spans="1:21" customFormat="1" ht="20.25" thickBot="1">
      <c r="A2" s="24" t="s">
        <v>165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customFormat="1" ht="15.75" thickTop="1"/>
    <row r="4" spans="1:21" s="8" customFormat="1" ht="18">
      <c r="A4" s="86" t="s">
        <v>201</v>
      </c>
      <c r="B4" s="86" t="s">
        <v>142</v>
      </c>
      <c r="C4" s="86" t="s">
        <v>142</v>
      </c>
      <c r="D4" s="86" t="s">
        <v>462</v>
      </c>
      <c r="E4" s="86" t="s">
        <v>528</v>
      </c>
      <c r="F4" s="86" t="s">
        <v>529</v>
      </c>
      <c r="G4" s="86" t="s">
        <v>530</v>
      </c>
      <c r="H4" s="86" t="s">
        <v>530</v>
      </c>
      <c r="I4" s="86" t="s">
        <v>73</v>
      </c>
      <c r="J4" s="86" t="s">
        <v>531</v>
      </c>
      <c r="K4" s="86" t="s">
        <v>163</v>
      </c>
      <c r="L4" s="86" t="s">
        <v>163</v>
      </c>
      <c r="M4" s="86" t="s">
        <v>70</v>
      </c>
      <c r="N4" s="86" t="s">
        <v>532</v>
      </c>
      <c r="O4" s="86" t="s">
        <v>165</v>
      </c>
      <c r="P4" s="86" t="s">
        <v>165</v>
      </c>
      <c r="Q4" s="86" t="s">
        <v>533</v>
      </c>
      <c r="R4" s="86" t="s">
        <v>533</v>
      </c>
      <c r="S4" s="86" t="s">
        <v>534</v>
      </c>
      <c r="T4" s="86" t="str">
        <f>Ausgangssubstrate!B4</f>
        <v>HS oder Co-S</v>
      </c>
      <c r="U4" s="86" t="s">
        <v>535</v>
      </c>
    </row>
    <row r="5" spans="1:21" s="8" customFormat="1" ht="17.25">
      <c r="A5" s="95" t="s">
        <v>148</v>
      </c>
      <c r="B5" s="95" t="s">
        <v>150</v>
      </c>
      <c r="C5" s="95" t="s">
        <v>536</v>
      </c>
      <c r="D5" s="95" t="s">
        <v>537</v>
      </c>
      <c r="E5" s="95" t="s">
        <v>538</v>
      </c>
      <c r="F5" s="95" t="s">
        <v>152</v>
      </c>
      <c r="G5" s="95" t="s">
        <v>539</v>
      </c>
      <c r="H5" s="95" t="s">
        <v>540</v>
      </c>
      <c r="I5" s="95" t="s">
        <v>109</v>
      </c>
      <c r="J5" s="95" t="s">
        <v>153</v>
      </c>
      <c r="K5" s="95" t="s">
        <v>541</v>
      </c>
      <c r="L5" s="95" t="s">
        <v>542</v>
      </c>
      <c r="M5" s="95" t="s">
        <v>109</v>
      </c>
      <c r="N5" s="95" t="s">
        <v>543</v>
      </c>
      <c r="O5" s="95" t="s">
        <v>541</v>
      </c>
      <c r="P5" s="95" t="s">
        <v>542</v>
      </c>
      <c r="Q5" s="95" t="s">
        <v>544</v>
      </c>
      <c r="R5" s="95" t="s">
        <v>545</v>
      </c>
      <c r="S5" s="95" t="s">
        <v>546</v>
      </c>
      <c r="T5" s="95" t="str">
        <f>Ausgangssubstrate!B5</f>
        <v>Auswahl</v>
      </c>
      <c r="U5" s="95" t="s">
        <v>128</v>
      </c>
    </row>
    <row r="6" spans="1:21" ht="15.75" thickBot="1">
      <c r="A6" s="83" t="str">
        <f>Ausgangssubstrate!$A6</f>
        <v>Belebtschlamm, eingedickt</v>
      </c>
      <c r="B6" s="66">
        <f>Ausgangssubstrate!$C6</f>
        <v>365</v>
      </c>
      <c r="C6" s="120">
        <f>B6/Grundlagen!$B$6</f>
        <v>0.99931553730321698</v>
      </c>
      <c r="D6" s="107">
        <f>VLOOKUP($A6,'Datenbank Substrate'!$13:$103,3,FALSE)/100</f>
        <v>0.15920000000000001</v>
      </c>
      <c r="E6" s="108">
        <f>C6*D6</f>
        <v>0.15909103353867216</v>
      </c>
      <c r="F6" s="107">
        <f>VLOOKUP($A6,'Datenbank Substrate'!$13:$103,4,FALSE)/100</f>
        <v>8.8499999999999995E-2</v>
      </c>
      <c r="G6" s="108">
        <f>E6*F6</f>
        <v>1.4079556468172485E-2</v>
      </c>
      <c r="H6" s="106">
        <f>G6*1000</f>
        <v>14.079556468172486</v>
      </c>
      <c r="I6" s="109">
        <f>Abbaugrad!D8</f>
        <v>0.9999999802362165</v>
      </c>
      <c r="J6" s="122">
        <f>VLOOKUP($A6,'Datenbank Substrate'!$13:$103,12,FALSE)</f>
        <v>188.57</v>
      </c>
      <c r="K6" s="106">
        <f>G6*I6*J6</f>
        <v>2.6549819107307964</v>
      </c>
      <c r="L6" s="106">
        <f>K6*Grundlagen!$B$6</f>
        <v>969.73214289442342</v>
      </c>
      <c r="M6" s="109">
        <f>VLOOKUP($A6,'Datenbank Substrate'!$13:$103,21,FALSE)</f>
        <v>0.6</v>
      </c>
      <c r="N6" s="106">
        <f>J6*M6</f>
        <v>113.142</v>
      </c>
      <c r="O6" s="106">
        <f t="shared" ref="O6:O27" si="0">K6*M6</f>
        <v>1.5929891464384778</v>
      </c>
      <c r="P6" s="106">
        <f>O6*Grundlagen!$B$6</f>
        <v>581.83928573665401</v>
      </c>
      <c r="Q6" s="106">
        <f>O6*Grundlagen!$B$9</f>
        <v>15.878915811698747</v>
      </c>
      <c r="R6" s="106">
        <f>Q6*Grundlagen!$B$7</f>
        <v>139194.57600535121</v>
      </c>
      <c r="S6" s="155">
        <f>Q6/24</f>
        <v>0.66162149215411448</v>
      </c>
      <c r="T6" s="155" t="str">
        <f>Ausgangssubstrate!B6</f>
        <v>HS</v>
      </c>
      <c r="U6" s="110">
        <f>Q6/$Q$28</f>
        <v>4.5454545454545484E-2</v>
      </c>
    </row>
    <row r="7" spans="1:21" ht="16.5" thickTop="1" thickBot="1">
      <c r="A7" s="83" t="str">
        <f>Ausgangssubstrate!$A7</f>
        <v>Belebtschlamm, eingedickt</v>
      </c>
      <c r="B7" s="66">
        <f>Ausgangssubstrate!$C7</f>
        <v>365</v>
      </c>
      <c r="C7" s="120">
        <f>B7/Grundlagen!$B$6</f>
        <v>0.99931553730321698</v>
      </c>
      <c r="D7" s="107">
        <f>VLOOKUP($A7,'Datenbank Substrate'!$13:$103,3,FALSE)/100</f>
        <v>0.15920000000000001</v>
      </c>
      <c r="E7" s="108">
        <f t="shared" ref="E7:E27" si="1">C7*D7</f>
        <v>0.15909103353867216</v>
      </c>
      <c r="F7" s="107">
        <f>VLOOKUP($A7,'Datenbank Substrate'!$13:$103,4,FALSE)/100</f>
        <v>8.8499999999999995E-2</v>
      </c>
      <c r="G7" s="108">
        <f t="shared" ref="G7:G27" si="2">E7*F7</f>
        <v>1.4079556468172485E-2</v>
      </c>
      <c r="H7" s="106">
        <f t="shared" ref="H7:H27" si="3">G7*1000</f>
        <v>14.079556468172486</v>
      </c>
      <c r="I7" s="109">
        <f>Abbaugrad!D9</f>
        <v>0.9999999802362165</v>
      </c>
      <c r="J7" s="122">
        <f>VLOOKUP($A7,'Datenbank Substrate'!$13:$103,12,FALSE)</f>
        <v>188.57</v>
      </c>
      <c r="K7" s="106">
        <f t="shared" ref="K7:K26" si="4">G7*I7*J7</f>
        <v>2.6549819107307964</v>
      </c>
      <c r="L7" s="106">
        <f>K7*Grundlagen!$B$6</f>
        <v>969.73214289442342</v>
      </c>
      <c r="M7" s="109">
        <f>VLOOKUP($A7,'Datenbank Substrate'!$13:$103,21,FALSE)</f>
        <v>0.6</v>
      </c>
      <c r="N7" s="106">
        <f t="shared" ref="N7:N27" si="5">J7*M7</f>
        <v>113.142</v>
      </c>
      <c r="O7" s="106">
        <f t="shared" si="0"/>
        <v>1.5929891464384778</v>
      </c>
      <c r="P7" s="106">
        <f>O7*Grundlagen!$B$6</f>
        <v>581.83928573665401</v>
      </c>
      <c r="Q7" s="106">
        <f>O7*Grundlagen!$B$9</f>
        <v>15.878915811698747</v>
      </c>
      <c r="R7" s="106">
        <f>Q7*Grundlagen!$B$7</f>
        <v>139194.57600535121</v>
      </c>
      <c r="S7" s="155">
        <f t="shared" ref="S7:S27" si="6">Q7/24</f>
        <v>0.66162149215411448</v>
      </c>
      <c r="T7" s="155" t="str">
        <f>Ausgangssubstrate!B7</f>
        <v>HS</v>
      </c>
      <c r="U7" s="110">
        <f t="shared" ref="U7:U27" si="7">Q7/$Q$28</f>
        <v>4.5454545454545484E-2</v>
      </c>
    </row>
    <row r="8" spans="1:21" ht="16.5" thickTop="1" thickBot="1">
      <c r="A8" s="83" t="str">
        <f>Ausgangssubstrate!$A8</f>
        <v>Belebtschlamm, eingedickt</v>
      </c>
      <c r="B8" s="66">
        <f>Ausgangssubstrate!$C8</f>
        <v>365</v>
      </c>
      <c r="C8" s="120">
        <f>B8/Grundlagen!$B$6</f>
        <v>0.99931553730321698</v>
      </c>
      <c r="D8" s="107">
        <f>VLOOKUP($A8,'Datenbank Substrate'!$13:$103,3,FALSE)/100</f>
        <v>0.15920000000000001</v>
      </c>
      <c r="E8" s="108">
        <f t="shared" si="1"/>
        <v>0.15909103353867216</v>
      </c>
      <c r="F8" s="107">
        <f>VLOOKUP($A8,'Datenbank Substrate'!$13:$103,4,FALSE)/100</f>
        <v>8.8499999999999995E-2</v>
      </c>
      <c r="G8" s="108">
        <f t="shared" si="2"/>
        <v>1.4079556468172485E-2</v>
      </c>
      <c r="H8" s="106">
        <f t="shared" si="3"/>
        <v>14.079556468172486</v>
      </c>
      <c r="I8" s="109">
        <f>Abbaugrad!D10</f>
        <v>0.9999999802362165</v>
      </c>
      <c r="J8" s="122">
        <f>VLOOKUP($A8,'Datenbank Substrate'!$13:$103,12,FALSE)</f>
        <v>188.57</v>
      </c>
      <c r="K8" s="106">
        <f t="shared" si="4"/>
        <v>2.6549819107307964</v>
      </c>
      <c r="L8" s="106">
        <f>K8*Grundlagen!$B$6</f>
        <v>969.73214289442342</v>
      </c>
      <c r="M8" s="109">
        <f>VLOOKUP($A8,'Datenbank Substrate'!$13:$103,21,FALSE)</f>
        <v>0.6</v>
      </c>
      <c r="N8" s="106">
        <f t="shared" si="5"/>
        <v>113.142</v>
      </c>
      <c r="O8" s="106">
        <f t="shared" si="0"/>
        <v>1.5929891464384778</v>
      </c>
      <c r="P8" s="106">
        <f>O8*Grundlagen!$B$6</f>
        <v>581.83928573665401</v>
      </c>
      <c r="Q8" s="106">
        <f>O8*Grundlagen!$B$9</f>
        <v>15.878915811698747</v>
      </c>
      <c r="R8" s="106">
        <f>Q8*Grundlagen!$B$7</f>
        <v>139194.57600535121</v>
      </c>
      <c r="S8" s="155">
        <f t="shared" si="6"/>
        <v>0.66162149215411448</v>
      </c>
      <c r="T8" s="155" t="str">
        <f>Ausgangssubstrate!B8</f>
        <v>HS</v>
      </c>
      <c r="U8" s="110">
        <f t="shared" si="7"/>
        <v>4.5454545454545484E-2</v>
      </c>
    </row>
    <row r="9" spans="1:21" ht="16.5" thickTop="1" thickBot="1">
      <c r="A9" s="83" t="str">
        <f>Ausgangssubstrate!$A9</f>
        <v>Belebtschlamm, eingedickt</v>
      </c>
      <c r="B9" s="66">
        <f>Ausgangssubstrate!$C9</f>
        <v>365</v>
      </c>
      <c r="C9" s="120">
        <f>B9/Grundlagen!$B$6</f>
        <v>0.99931553730321698</v>
      </c>
      <c r="D9" s="107">
        <f>VLOOKUP($A9,'Datenbank Substrate'!$13:$103,3,FALSE)/100</f>
        <v>0.15920000000000001</v>
      </c>
      <c r="E9" s="108">
        <f t="shared" si="1"/>
        <v>0.15909103353867216</v>
      </c>
      <c r="F9" s="107">
        <f>VLOOKUP($A9,'Datenbank Substrate'!$13:$103,4,FALSE)/100</f>
        <v>8.8499999999999995E-2</v>
      </c>
      <c r="G9" s="108">
        <f t="shared" si="2"/>
        <v>1.4079556468172485E-2</v>
      </c>
      <c r="H9" s="106">
        <f t="shared" si="3"/>
        <v>14.079556468172486</v>
      </c>
      <c r="I9" s="109">
        <f>Abbaugrad!D11</f>
        <v>0.9999999802362165</v>
      </c>
      <c r="J9" s="122">
        <f>VLOOKUP($A9,'Datenbank Substrate'!$13:$103,12,FALSE)</f>
        <v>188.57</v>
      </c>
      <c r="K9" s="106">
        <f t="shared" si="4"/>
        <v>2.6549819107307964</v>
      </c>
      <c r="L9" s="106">
        <f>K9*Grundlagen!$B$6</f>
        <v>969.73214289442342</v>
      </c>
      <c r="M9" s="109">
        <f>VLOOKUP($A9,'Datenbank Substrate'!$13:$103,21,FALSE)</f>
        <v>0.6</v>
      </c>
      <c r="N9" s="106">
        <f t="shared" si="5"/>
        <v>113.142</v>
      </c>
      <c r="O9" s="106">
        <f t="shared" si="0"/>
        <v>1.5929891464384778</v>
      </c>
      <c r="P9" s="106">
        <f>O9*Grundlagen!$B$6</f>
        <v>581.83928573665401</v>
      </c>
      <c r="Q9" s="106">
        <f>O9*Grundlagen!$B$9</f>
        <v>15.878915811698747</v>
      </c>
      <c r="R9" s="106">
        <f>Q9*Grundlagen!$B$7</f>
        <v>139194.57600535121</v>
      </c>
      <c r="S9" s="155">
        <f t="shared" si="6"/>
        <v>0.66162149215411448</v>
      </c>
      <c r="T9" s="155" t="str">
        <f>Ausgangssubstrate!B9</f>
        <v>HS</v>
      </c>
      <c r="U9" s="110">
        <f t="shared" si="7"/>
        <v>4.5454545454545484E-2</v>
      </c>
    </row>
    <row r="10" spans="1:21" ht="16.5" thickTop="1" thickBot="1">
      <c r="A10" s="83" t="str">
        <f>Ausgangssubstrate!$A10</f>
        <v>Belebtschlamm, eingedickt</v>
      </c>
      <c r="B10" s="66">
        <f>Ausgangssubstrate!$C10</f>
        <v>365</v>
      </c>
      <c r="C10" s="120">
        <f>B10/Grundlagen!$B$6</f>
        <v>0.99931553730321698</v>
      </c>
      <c r="D10" s="107">
        <f>VLOOKUP($A10,'Datenbank Substrate'!$13:$103,3,FALSE)/100</f>
        <v>0.15920000000000001</v>
      </c>
      <c r="E10" s="108">
        <f t="shared" si="1"/>
        <v>0.15909103353867216</v>
      </c>
      <c r="F10" s="107">
        <f>VLOOKUP($A10,'Datenbank Substrate'!$13:$103,4,FALSE)/100</f>
        <v>8.8499999999999995E-2</v>
      </c>
      <c r="G10" s="108">
        <f t="shared" si="2"/>
        <v>1.4079556468172485E-2</v>
      </c>
      <c r="H10" s="106">
        <f t="shared" si="3"/>
        <v>14.079556468172486</v>
      </c>
      <c r="I10" s="109">
        <f>Abbaugrad!D12</f>
        <v>0.9999999802362165</v>
      </c>
      <c r="J10" s="122">
        <f>VLOOKUP($A10,'Datenbank Substrate'!$13:$103,12,FALSE)</f>
        <v>188.57</v>
      </c>
      <c r="K10" s="106">
        <f t="shared" si="4"/>
        <v>2.6549819107307964</v>
      </c>
      <c r="L10" s="106">
        <f>K10*Grundlagen!$B$6</f>
        <v>969.73214289442342</v>
      </c>
      <c r="M10" s="109">
        <f>VLOOKUP($A10,'Datenbank Substrate'!$13:$103,21,FALSE)</f>
        <v>0.6</v>
      </c>
      <c r="N10" s="106">
        <f t="shared" si="5"/>
        <v>113.142</v>
      </c>
      <c r="O10" s="106">
        <f t="shared" si="0"/>
        <v>1.5929891464384778</v>
      </c>
      <c r="P10" s="106">
        <f>O10*Grundlagen!$B$6</f>
        <v>581.83928573665401</v>
      </c>
      <c r="Q10" s="106">
        <f>O10*Grundlagen!$B$9</f>
        <v>15.878915811698747</v>
      </c>
      <c r="R10" s="106">
        <f>Q10*Grundlagen!$B$7</f>
        <v>139194.57600535121</v>
      </c>
      <c r="S10" s="155">
        <f t="shared" si="6"/>
        <v>0.66162149215411448</v>
      </c>
      <c r="T10" s="155" t="str">
        <f>Ausgangssubstrate!B10</f>
        <v>HS</v>
      </c>
      <c r="U10" s="110">
        <f t="shared" si="7"/>
        <v>4.5454545454545484E-2</v>
      </c>
    </row>
    <row r="11" spans="1:21" ht="16.5" thickTop="1" thickBot="1">
      <c r="A11" s="83" t="str">
        <f>Ausgangssubstrate!$A11</f>
        <v>Belebtschlamm, eingedickt</v>
      </c>
      <c r="B11" s="66">
        <f>Ausgangssubstrate!$C11</f>
        <v>365</v>
      </c>
      <c r="C11" s="120">
        <f>B11/Grundlagen!$B$6</f>
        <v>0.99931553730321698</v>
      </c>
      <c r="D11" s="107">
        <f>VLOOKUP($A11,'Datenbank Substrate'!$13:$103,3,FALSE)/100</f>
        <v>0.15920000000000001</v>
      </c>
      <c r="E11" s="108">
        <f t="shared" si="1"/>
        <v>0.15909103353867216</v>
      </c>
      <c r="F11" s="107">
        <f>VLOOKUP($A11,'Datenbank Substrate'!$13:$103,4,FALSE)/100</f>
        <v>8.8499999999999995E-2</v>
      </c>
      <c r="G11" s="108">
        <f t="shared" si="2"/>
        <v>1.4079556468172485E-2</v>
      </c>
      <c r="H11" s="106">
        <f t="shared" si="3"/>
        <v>14.079556468172486</v>
      </c>
      <c r="I11" s="109">
        <f>Abbaugrad!D13</f>
        <v>0.9999999802362165</v>
      </c>
      <c r="J11" s="122">
        <f>VLOOKUP($A11,'Datenbank Substrate'!$13:$103,12,FALSE)</f>
        <v>188.57</v>
      </c>
      <c r="K11" s="106">
        <f t="shared" si="4"/>
        <v>2.6549819107307964</v>
      </c>
      <c r="L11" s="106">
        <f>K11*Grundlagen!$B$6</f>
        <v>969.73214289442342</v>
      </c>
      <c r="M11" s="109">
        <f>VLOOKUP($A11,'Datenbank Substrate'!$13:$103,21,FALSE)</f>
        <v>0.6</v>
      </c>
      <c r="N11" s="106">
        <f t="shared" si="5"/>
        <v>113.142</v>
      </c>
      <c r="O11" s="106">
        <f t="shared" si="0"/>
        <v>1.5929891464384778</v>
      </c>
      <c r="P11" s="106">
        <f>O11*Grundlagen!$B$6</f>
        <v>581.83928573665401</v>
      </c>
      <c r="Q11" s="106">
        <f>O11*Grundlagen!$B$9</f>
        <v>15.878915811698747</v>
      </c>
      <c r="R11" s="106">
        <f>Q11*Grundlagen!$B$7</f>
        <v>139194.57600535121</v>
      </c>
      <c r="S11" s="155">
        <f t="shared" si="6"/>
        <v>0.66162149215411448</v>
      </c>
      <c r="T11" s="155" t="str">
        <f>Ausgangssubstrate!B11</f>
        <v>HS</v>
      </c>
      <c r="U11" s="110">
        <f t="shared" si="7"/>
        <v>4.5454545454545484E-2</v>
      </c>
    </row>
    <row r="12" spans="1:21" ht="16.5" thickTop="1" thickBot="1">
      <c r="A12" s="83" t="str">
        <f>Ausgangssubstrate!$A12</f>
        <v>Belebtschlamm, eingedickt</v>
      </c>
      <c r="B12" s="66">
        <f>Ausgangssubstrate!$C12</f>
        <v>365</v>
      </c>
      <c r="C12" s="120">
        <f>B12/Grundlagen!$B$6</f>
        <v>0.99931553730321698</v>
      </c>
      <c r="D12" s="107">
        <f>VLOOKUP($A12,'Datenbank Substrate'!$13:$103,3,FALSE)/100</f>
        <v>0.15920000000000001</v>
      </c>
      <c r="E12" s="108">
        <f t="shared" si="1"/>
        <v>0.15909103353867216</v>
      </c>
      <c r="F12" s="107">
        <f>VLOOKUP($A12,'Datenbank Substrate'!$13:$103,4,FALSE)/100</f>
        <v>8.8499999999999995E-2</v>
      </c>
      <c r="G12" s="108">
        <f t="shared" si="2"/>
        <v>1.4079556468172485E-2</v>
      </c>
      <c r="H12" s="106">
        <f t="shared" si="3"/>
        <v>14.079556468172486</v>
      </c>
      <c r="I12" s="109">
        <f>Abbaugrad!D14</f>
        <v>0.99999998023621661</v>
      </c>
      <c r="J12" s="122">
        <f>VLOOKUP($A12,'Datenbank Substrate'!$13:$103,12,FALSE)</f>
        <v>188.57</v>
      </c>
      <c r="K12" s="106">
        <f t="shared" si="4"/>
        <v>2.6549819107307968</v>
      </c>
      <c r="L12" s="106">
        <f>K12*Grundlagen!$B$6</f>
        <v>969.73214289442353</v>
      </c>
      <c r="M12" s="109">
        <f>VLOOKUP($A12,'Datenbank Substrate'!$13:$103,21,FALSE)</f>
        <v>0.6</v>
      </c>
      <c r="N12" s="106">
        <f t="shared" si="5"/>
        <v>113.142</v>
      </c>
      <c r="O12" s="106">
        <f t="shared" si="0"/>
        <v>1.592989146438478</v>
      </c>
      <c r="P12" s="106">
        <f>O12*Grundlagen!$B$6</f>
        <v>581.83928573665412</v>
      </c>
      <c r="Q12" s="106">
        <f>O12*Grundlagen!$B$9</f>
        <v>15.878915811698748</v>
      </c>
      <c r="R12" s="106">
        <f>Q12*Grundlagen!$B$7</f>
        <v>139194.57600535123</v>
      </c>
      <c r="S12" s="155">
        <f t="shared" si="6"/>
        <v>0.66162149215411448</v>
      </c>
      <c r="T12" s="155" t="str">
        <f>Ausgangssubstrate!B12</f>
        <v>HS</v>
      </c>
      <c r="U12" s="110">
        <f t="shared" si="7"/>
        <v>4.5454545454545484E-2</v>
      </c>
    </row>
    <row r="13" spans="1:21" ht="16.5" thickTop="1" thickBot="1">
      <c r="A13" s="83" t="str">
        <f>Ausgangssubstrate!$A13</f>
        <v>Belebtschlamm, eingedickt</v>
      </c>
      <c r="B13" s="66">
        <f>Ausgangssubstrate!$C13</f>
        <v>365</v>
      </c>
      <c r="C13" s="120">
        <f>B13/Grundlagen!$B$6</f>
        <v>0.99931553730321698</v>
      </c>
      <c r="D13" s="107">
        <f>VLOOKUP($A13,'Datenbank Substrate'!$13:$103,3,FALSE)/100</f>
        <v>0.15920000000000001</v>
      </c>
      <c r="E13" s="108">
        <f t="shared" si="1"/>
        <v>0.15909103353867216</v>
      </c>
      <c r="F13" s="107">
        <f>VLOOKUP($A13,'Datenbank Substrate'!$13:$103,4,FALSE)/100</f>
        <v>8.8499999999999995E-2</v>
      </c>
      <c r="G13" s="108">
        <f t="shared" si="2"/>
        <v>1.4079556468172485E-2</v>
      </c>
      <c r="H13" s="106">
        <f t="shared" si="3"/>
        <v>14.079556468172486</v>
      </c>
      <c r="I13" s="109">
        <f>Abbaugrad!D15</f>
        <v>0.9999999802362165</v>
      </c>
      <c r="J13" s="122">
        <f>VLOOKUP($A13,'Datenbank Substrate'!$13:$103,12,FALSE)</f>
        <v>188.57</v>
      </c>
      <c r="K13" s="106">
        <f t="shared" si="4"/>
        <v>2.6549819107307964</v>
      </c>
      <c r="L13" s="106">
        <f>K13*Grundlagen!$B$6</f>
        <v>969.73214289442342</v>
      </c>
      <c r="M13" s="109">
        <f>VLOOKUP($A13,'Datenbank Substrate'!$13:$103,21,FALSE)</f>
        <v>0.6</v>
      </c>
      <c r="N13" s="106">
        <f t="shared" si="5"/>
        <v>113.142</v>
      </c>
      <c r="O13" s="106">
        <f t="shared" si="0"/>
        <v>1.5929891464384778</v>
      </c>
      <c r="P13" s="106">
        <f>O13*Grundlagen!$B$6</f>
        <v>581.83928573665401</v>
      </c>
      <c r="Q13" s="106">
        <f>O13*Grundlagen!$B$9</f>
        <v>15.878915811698747</v>
      </c>
      <c r="R13" s="106">
        <f>Q13*Grundlagen!$B$7</f>
        <v>139194.57600535121</v>
      </c>
      <c r="S13" s="155">
        <f t="shared" si="6"/>
        <v>0.66162149215411448</v>
      </c>
      <c r="T13" s="155" t="str">
        <f>Ausgangssubstrate!B13</f>
        <v>HS</v>
      </c>
      <c r="U13" s="110">
        <f t="shared" si="7"/>
        <v>4.5454545454545484E-2</v>
      </c>
    </row>
    <row r="14" spans="1:21" ht="16.5" thickTop="1" thickBot="1">
      <c r="A14" s="83" t="str">
        <f>Ausgangssubstrate!$A14</f>
        <v>Belebtschlamm, eingedickt</v>
      </c>
      <c r="B14" s="66">
        <f>Ausgangssubstrate!$C14</f>
        <v>365</v>
      </c>
      <c r="C14" s="120">
        <f>B14/Grundlagen!$B$6</f>
        <v>0.99931553730321698</v>
      </c>
      <c r="D14" s="107">
        <f>VLOOKUP($A14,'Datenbank Substrate'!$13:$103,3,FALSE)/100</f>
        <v>0.15920000000000001</v>
      </c>
      <c r="E14" s="108">
        <f t="shared" si="1"/>
        <v>0.15909103353867216</v>
      </c>
      <c r="F14" s="107">
        <f>VLOOKUP($A14,'Datenbank Substrate'!$13:$103,4,FALSE)/100</f>
        <v>8.8499999999999995E-2</v>
      </c>
      <c r="G14" s="108">
        <f t="shared" si="2"/>
        <v>1.4079556468172485E-2</v>
      </c>
      <c r="H14" s="106">
        <f t="shared" si="3"/>
        <v>14.079556468172486</v>
      </c>
      <c r="I14" s="109">
        <f>Abbaugrad!D16</f>
        <v>0.9999999802362165</v>
      </c>
      <c r="J14" s="122">
        <f>VLOOKUP($A14,'Datenbank Substrate'!$13:$103,12,FALSE)</f>
        <v>188.57</v>
      </c>
      <c r="K14" s="106">
        <f t="shared" si="4"/>
        <v>2.6549819107307964</v>
      </c>
      <c r="L14" s="106">
        <f>K14*Grundlagen!$B$6</f>
        <v>969.73214289442342</v>
      </c>
      <c r="M14" s="109">
        <f>VLOOKUP($A14,'Datenbank Substrate'!$13:$103,21,FALSE)</f>
        <v>0.6</v>
      </c>
      <c r="N14" s="106">
        <f t="shared" si="5"/>
        <v>113.142</v>
      </c>
      <c r="O14" s="106">
        <f t="shared" si="0"/>
        <v>1.5929891464384778</v>
      </c>
      <c r="P14" s="106">
        <f>O14*Grundlagen!$B$6</f>
        <v>581.83928573665401</v>
      </c>
      <c r="Q14" s="106">
        <f>O14*Grundlagen!$B$9</f>
        <v>15.878915811698747</v>
      </c>
      <c r="R14" s="106">
        <f>Q14*Grundlagen!$B$7</f>
        <v>139194.57600535121</v>
      </c>
      <c r="S14" s="155">
        <f t="shared" si="6"/>
        <v>0.66162149215411448</v>
      </c>
      <c r="T14" s="155" t="str">
        <f>Ausgangssubstrate!B14</f>
        <v>HS</v>
      </c>
      <c r="U14" s="110">
        <f t="shared" si="7"/>
        <v>4.5454545454545484E-2</v>
      </c>
    </row>
    <row r="15" spans="1:21" ht="16.5" thickTop="1" thickBot="1">
      <c r="A15" s="83" t="str">
        <f>Ausgangssubstrate!$A15</f>
        <v>Belebtschlamm, eingedickt</v>
      </c>
      <c r="B15" s="66">
        <f>Ausgangssubstrate!$C15</f>
        <v>365</v>
      </c>
      <c r="C15" s="120">
        <f>B15/Grundlagen!$B$6</f>
        <v>0.99931553730321698</v>
      </c>
      <c r="D15" s="107">
        <f>VLOOKUP($A15,'Datenbank Substrate'!$13:$103,3,FALSE)/100</f>
        <v>0.15920000000000001</v>
      </c>
      <c r="E15" s="108">
        <f t="shared" si="1"/>
        <v>0.15909103353867216</v>
      </c>
      <c r="F15" s="107">
        <f>VLOOKUP($A15,'Datenbank Substrate'!$13:$103,4,FALSE)/100</f>
        <v>8.8499999999999995E-2</v>
      </c>
      <c r="G15" s="108">
        <f t="shared" si="2"/>
        <v>1.4079556468172485E-2</v>
      </c>
      <c r="H15" s="106">
        <f t="shared" si="3"/>
        <v>14.079556468172486</v>
      </c>
      <c r="I15" s="109">
        <f>Abbaugrad!D17</f>
        <v>0.9999999802362165</v>
      </c>
      <c r="J15" s="122">
        <f>VLOOKUP($A15,'Datenbank Substrate'!$13:$103,12,FALSE)</f>
        <v>188.57</v>
      </c>
      <c r="K15" s="106">
        <f t="shared" si="4"/>
        <v>2.6549819107307964</v>
      </c>
      <c r="L15" s="106">
        <f>K15*Grundlagen!$B$6</f>
        <v>969.73214289442342</v>
      </c>
      <c r="M15" s="109">
        <f>VLOOKUP($A15,'Datenbank Substrate'!$13:$103,21,FALSE)</f>
        <v>0.6</v>
      </c>
      <c r="N15" s="106">
        <f t="shared" si="5"/>
        <v>113.142</v>
      </c>
      <c r="O15" s="106">
        <f t="shared" si="0"/>
        <v>1.5929891464384778</v>
      </c>
      <c r="P15" s="106">
        <f>O15*Grundlagen!$B$6</f>
        <v>581.83928573665401</v>
      </c>
      <c r="Q15" s="106">
        <f>O15*Grundlagen!$B$9</f>
        <v>15.878915811698747</v>
      </c>
      <c r="R15" s="106">
        <f>Q15*Grundlagen!$B$7</f>
        <v>139194.57600535121</v>
      </c>
      <c r="S15" s="155">
        <f t="shared" si="6"/>
        <v>0.66162149215411448</v>
      </c>
      <c r="T15" s="155" t="str">
        <f>Ausgangssubstrate!B15</f>
        <v>HS</v>
      </c>
      <c r="U15" s="110">
        <f t="shared" si="7"/>
        <v>4.5454545454545484E-2</v>
      </c>
    </row>
    <row r="16" spans="1:21" ht="16.5" thickTop="1" thickBot="1">
      <c r="A16" s="83" t="str">
        <f>Ausgangssubstrate!$A16</f>
        <v>Belebtschlamm, eingedickt</v>
      </c>
      <c r="B16" s="66">
        <f>Ausgangssubstrate!$C16</f>
        <v>365</v>
      </c>
      <c r="C16" s="120">
        <f>B16/Grundlagen!$B$6</f>
        <v>0.99931553730321698</v>
      </c>
      <c r="D16" s="107">
        <f>VLOOKUP($A16,'Datenbank Substrate'!$13:$103,3,FALSE)/100</f>
        <v>0.15920000000000001</v>
      </c>
      <c r="E16" s="108">
        <f t="shared" si="1"/>
        <v>0.15909103353867216</v>
      </c>
      <c r="F16" s="107">
        <f>VLOOKUP($A16,'Datenbank Substrate'!$13:$103,4,FALSE)/100</f>
        <v>8.8499999999999995E-2</v>
      </c>
      <c r="G16" s="108">
        <f t="shared" si="2"/>
        <v>1.4079556468172485E-2</v>
      </c>
      <c r="H16" s="106">
        <f t="shared" si="3"/>
        <v>14.079556468172486</v>
      </c>
      <c r="I16" s="109">
        <f>Abbaugrad!D18</f>
        <v>0.9999999802362165</v>
      </c>
      <c r="J16" s="122">
        <f>VLOOKUP($A16,'Datenbank Substrate'!$13:$103,12,FALSE)</f>
        <v>188.57</v>
      </c>
      <c r="K16" s="106">
        <f t="shared" si="4"/>
        <v>2.6549819107307964</v>
      </c>
      <c r="L16" s="106">
        <f>K16*Grundlagen!$B$6</f>
        <v>969.73214289442342</v>
      </c>
      <c r="M16" s="109">
        <f>VLOOKUP($A16,'Datenbank Substrate'!$13:$103,21,FALSE)</f>
        <v>0.6</v>
      </c>
      <c r="N16" s="106">
        <f t="shared" si="5"/>
        <v>113.142</v>
      </c>
      <c r="O16" s="106">
        <f t="shared" si="0"/>
        <v>1.5929891464384778</v>
      </c>
      <c r="P16" s="106">
        <f>O16*Grundlagen!$B$6</f>
        <v>581.83928573665401</v>
      </c>
      <c r="Q16" s="106">
        <f>O16*Grundlagen!$B$9</f>
        <v>15.878915811698747</v>
      </c>
      <c r="R16" s="106">
        <f>Q16*Grundlagen!$B$7</f>
        <v>139194.57600535121</v>
      </c>
      <c r="S16" s="155">
        <f t="shared" si="6"/>
        <v>0.66162149215411448</v>
      </c>
      <c r="T16" s="155" t="str">
        <f>Ausgangssubstrate!B16</f>
        <v>Co-S</v>
      </c>
      <c r="U16" s="110">
        <f t="shared" si="7"/>
        <v>4.5454545454545484E-2</v>
      </c>
    </row>
    <row r="17" spans="1:21" ht="16.5" thickTop="1" thickBot="1">
      <c r="A17" s="83" t="str">
        <f>Ausgangssubstrate!$A17</f>
        <v>Belebtschlamm, eingedickt</v>
      </c>
      <c r="B17" s="66">
        <f>Ausgangssubstrate!$C17</f>
        <v>365</v>
      </c>
      <c r="C17" s="120">
        <f>B17/Grundlagen!$B$6</f>
        <v>0.99931553730321698</v>
      </c>
      <c r="D17" s="107">
        <f>VLOOKUP($A17,'Datenbank Substrate'!$13:$103,3,FALSE)/100</f>
        <v>0.15920000000000001</v>
      </c>
      <c r="E17" s="108">
        <f t="shared" si="1"/>
        <v>0.15909103353867216</v>
      </c>
      <c r="F17" s="107">
        <f>VLOOKUP($A17,'Datenbank Substrate'!$13:$103,4,FALSE)/100</f>
        <v>8.8499999999999995E-2</v>
      </c>
      <c r="G17" s="108">
        <f t="shared" si="2"/>
        <v>1.4079556468172485E-2</v>
      </c>
      <c r="H17" s="106">
        <f t="shared" si="3"/>
        <v>14.079556468172486</v>
      </c>
      <c r="I17" s="109">
        <f>Abbaugrad!D19</f>
        <v>0.9999999802362165</v>
      </c>
      <c r="J17" s="122">
        <f>VLOOKUP($A17,'Datenbank Substrate'!$13:$103,12,FALSE)</f>
        <v>188.57</v>
      </c>
      <c r="K17" s="106">
        <f t="shared" si="4"/>
        <v>2.6549819107307964</v>
      </c>
      <c r="L17" s="106">
        <f>K17*Grundlagen!$B$6</f>
        <v>969.73214289442342</v>
      </c>
      <c r="M17" s="109">
        <f>VLOOKUP($A17,'Datenbank Substrate'!$13:$103,21,FALSE)</f>
        <v>0.6</v>
      </c>
      <c r="N17" s="106">
        <f t="shared" si="5"/>
        <v>113.142</v>
      </c>
      <c r="O17" s="106">
        <f t="shared" si="0"/>
        <v>1.5929891464384778</v>
      </c>
      <c r="P17" s="106">
        <f>O17*Grundlagen!$B$6</f>
        <v>581.83928573665401</v>
      </c>
      <c r="Q17" s="106">
        <f>O17*Grundlagen!$B$9</f>
        <v>15.878915811698747</v>
      </c>
      <c r="R17" s="106">
        <f>Q17*Grundlagen!$B$7</f>
        <v>139194.57600535121</v>
      </c>
      <c r="S17" s="155">
        <f t="shared" si="6"/>
        <v>0.66162149215411448</v>
      </c>
      <c r="T17" s="155" t="str">
        <f>Ausgangssubstrate!B17</f>
        <v>Co-S</v>
      </c>
      <c r="U17" s="110">
        <f t="shared" si="7"/>
        <v>4.5454545454545484E-2</v>
      </c>
    </row>
    <row r="18" spans="1:21" ht="16.5" thickTop="1" thickBot="1">
      <c r="A18" s="83" t="str">
        <f>Ausgangssubstrate!$A18</f>
        <v>Belebtschlamm, eingedickt</v>
      </c>
      <c r="B18" s="66">
        <f>Ausgangssubstrate!$C18</f>
        <v>365</v>
      </c>
      <c r="C18" s="120">
        <f>B18/Grundlagen!$B$6</f>
        <v>0.99931553730321698</v>
      </c>
      <c r="D18" s="107">
        <f>VLOOKUP($A18,'Datenbank Substrate'!$13:$103,3,FALSE)/100</f>
        <v>0.15920000000000001</v>
      </c>
      <c r="E18" s="108">
        <f t="shared" si="1"/>
        <v>0.15909103353867216</v>
      </c>
      <c r="F18" s="107">
        <f>VLOOKUP($A18,'Datenbank Substrate'!$13:$103,4,FALSE)/100</f>
        <v>8.8499999999999995E-2</v>
      </c>
      <c r="G18" s="108">
        <f t="shared" si="2"/>
        <v>1.4079556468172485E-2</v>
      </c>
      <c r="H18" s="106">
        <f t="shared" si="3"/>
        <v>14.079556468172486</v>
      </c>
      <c r="I18" s="109">
        <f>Abbaugrad!D20</f>
        <v>0.9999999802362165</v>
      </c>
      <c r="J18" s="122">
        <f>VLOOKUP($A18,'Datenbank Substrate'!$13:$103,12,FALSE)</f>
        <v>188.57</v>
      </c>
      <c r="K18" s="106">
        <f t="shared" si="4"/>
        <v>2.6549819107307964</v>
      </c>
      <c r="L18" s="106">
        <f>K18*Grundlagen!$B$6</f>
        <v>969.73214289442342</v>
      </c>
      <c r="M18" s="109">
        <f>VLOOKUP($A18,'Datenbank Substrate'!$13:$103,21,FALSE)</f>
        <v>0.6</v>
      </c>
      <c r="N18" s="106">
        <f t="shared" si="5"/>
        <v>113.142</v>
      </c>
      <c r="O18" s="106">
        <f t="shared" si="0"/>
        <v>1.5929891464384778</v>
      </c>
      <c r="P18" s="106">
        <f>O18*Grundlagen!$B$6</f>
        <v>581.83928573665401</v>
      </c>
      <c r="Q18" s="106">
        <f>O18*Grundlagen!$B$9</f>
        <v>15.878915811698747</v>
      </c>
      <c r="R18" s="106">
        <f>Q18*Grundlagen!$B$7</f>
        <v>139194.57600535121</v>
      </c>
      <c r="S18" s="155">
        <f t="shared" si="6"/>
        <v>0.66162149215411448</v>
      </c>
      <c r="T18" s="155" t="str">
        <f>Ausgangssubstrate!B18</f>
        <v>Co-S</v>
      </c>
      <c r="U18" s="110">
        <f t="shared" si="7"/>
        <v>4.5454545454545484E-2</v>
      </c>
    </row>
    <row r="19" spans="1:21" ht="16.5" thickTop="1" thickBot="1">
      <c r="A19" s="83" t="str">
        <f>Ausgangssubstrate!$A19</f>
        <v>Belebtschlamm, eingedickt</v>
      </c>
      <c r="B19" s="66">
        <f>Ausgangssubstrate!$C19</f>
        <v>365</v>
      </c>
      <c r="C19" s="120">
        <f>B19/Grundlagen!$B$6</f>
        <v>0.99931553730321698</v>
      </c>
      <c r="D19" s="107">
        <f>VLOOKUP($A19,'Datenbank Substrate'!$13:$103,3,FALSE)/100</f>
        <v>0.15920000000000001</v>
      </c>
      <c r="E19" s="108">
        <f t="shared" si="1"/>
        <v>0.15909103353867216</v>
      </c>
      <c r="F19" s="107">
        <f>VLOOKUP($A19,'Datenbank Substrate'!$13:$103,4,FALSE)/100</f>
        <v>8.8499999999999995E-2</v>
      </c>
      <c r="G19" s="108">
        <f t="shared" si="2"/>
        <v>1.4079556468172485E-2</v>
      </c>
      <c r="H19" s="106">
        <f t="shared" si="3"/>
        <v>14.079556468172486</v>
      </c>
      <c r="I19" s="109">
        <f>Abbaugrad!D21</f>
        <v>0.9999999802362165</v>
      </c>
      <c r="J19" s="122">
        <f>VLOOKUP($A19,'Datenbank Substrate'!$13:$103,12,FALSE)</f>
        <v>188.57</v>
      </c>
      <c r="K19" s="106">
        <f t="shared" si="4"/>
        <v>2.6549819107307964</v>
      </c>
      <c r="L19" s="106">
        <f>K19*Grundlagen!$B$6</f>
        <v>969.73214289442342</v>
      </c>
      <c r="M19" s="109">
        <f>VLOOKUP($A19,'Datenbank Substrate'!$13:$103,21,FALSE)</f>
        <v>0.6</v>
      </c>
      <c r="N19" s="106">
        <f t="shared" si="5"/>
        <v>113.142</v>
      </c>
      <c r="O19" s="106">
        <f t="shared" si="0"/>
        <v>1.5929891464384778</v>
      </c>
      <c r="P19" s="106">
        <f>O19*Grundlagen!$B$6</f>
        <v>581.83928573665401</v>
      </c>
      <c r="Q19" s="106">
        <f>O19*Grundlagen!$B$9</f>
        <v>15.878915811698747</v>
      </c>
      <c r="R19" s="106">
        <f>Q19*Grundlagen!$B$7</f>
        <v>139194.57600535121</v>
      </c>
      <c r="S19" s="155">
        <f t="shared" si="6"/>
        <v>0.66162149215411448</v>
      </c>
      <c r="T19" s="155" t="str">
        <f>Ausgangssubstrate!B19</f>
        <v>Co-S</v>
      </c>
      <c r="U19" s="110">
        <f t="shared" si="7"/>
        <v>4.5454545454545484E-2</v>
      </c>
    </row>
    <row r="20" spans="1:21" ht="16.5" thickTop="1" thickBot="1">
      <c r="A20" s="83" t="str">
        <f>Ausgangssubstrate!$A20</f>
        <v>Belebtschlamm, eingedickt</v>
      </c>
      <c r="B20" s="66">
        <f>Ausgangssubstrate!$C20</f>
        <v>365</v>
      </c>
      <c r="C20" s="120">
        <f>B20/Grundlagen!$B$6</f>
        <v>0.99931553730321698</v>
      </c>
      <c r="D20" s="107">
        <f>VLOOKUP($A20,'Datenbank Substrate'!$13:$103,3,FALSE)/100</f>
        <v>0.15920000000000001</v>
      </c>
      <c r="E20" s="108">
        <f t="shared" si="1"/>
        <v>0.15909103353867216</v>
      </c>
      <c r="F20" s="107">
        <f>VLOOKUP($A20,'Datenbank Substrate'!$13:$103,4,FALSE)/100</f>
        <v>8.8499999999999995E-2</v>
      </c>
      <c r="G20" s="108">
        <f t="shared" si="2"/>
        <v>1.4079556468172485E-2</v>
      </c>
      <c r="H20" s="106">
        <f t="shared" si="3"/>
        <v>14.079556468172486</v>
      </c>
      <c r="I20" s="109">
        <f>Abbaugrad!D22</f>
        <v>0.9999999802362165</v>
      </c>
      <c r="J20" s="122">
        <f>VLOOKUP($A20,'Datenbank Substrate'!$13:$103,12,FALSE)</f>
        <v>188.57</v>
      </c>
      <c r="K20" s="106">
        <f t="shared" si="4"/>
        <v>2.6549819107307964</v>
      </c>
      <c r="L20" s="106">
        <f>K20*Grundlagen!$B$6</f>
        <v>969.73214289442342</v>
      </c>
      <c r="M20" s="109">
        <f>VLOOKUP($A20,'Datenbank Substrate'!$13:$103,21,FALSE)</f>
        <v>0.6</v>
      </c>
      <c r="N20" s="106">
        <f t="shared" si="5"/>
        <v>113.142</v>
      </c>
      <c r="O20" s="106">
        <f t="shared" si="0"/>
        <v>1.5929891464384778</v>
      </c>
      <c r="P20" s="106">
        <f>O20*Grundlagen!$B$6</f>
        <v>581.83928573665401</v>
      </c>
      <c r="Q20" s="106">
        <f>O20*Grundlagen!$B$9</f>
        <v>15.878915811698747</v>
      </c>
      <c r="R20" s="106">
        <f>Q20*Grundlagen!$B$7</f>
        <v>139194.57600535121</v>
      </c>
      <c r="S20" s="155">
        <f t="shared" si="6"/>
        <v>0.66162149215411448</v>
      </c>
      <c r="T20" s="155" t="str">
        <f>Ausgangssubstrate!B20</f>
        <v>Co-S</v>
      </c>
      <c r="U20" s="110">
        <f t="shared" si="7"/>
        <v>4.5454545454545484E-2</v>
      </c>
    </row>
    <row r="21" spans="1:21" ht="16.5" thickTop="1" thickBot="1">
      <c r="A21" s="83" t="str">
        <f>Ausgangssubstrate!$A21</f>
        <v>Belebtschlamm, eingedickt</v>
      </c>
      <c r="B21" s="66">
        <f>Ausgangssubstrate!$C21</f>
        <v>365</v>
      </c>
      <c r="C21" s="120">
        <f>B21/Grundlagen!$B$6</f>
        <v>0.99931553730321698</v>
      </c>
      <c r="D21" s="107">
        <f>VLOOKUP($A21,'Datenbank Substrate'!$13:$103,3,FALSE)/100</f>
        <v>0.15920000000000001</v>
      </c>
      <c r="E21" s="108">
        <f t="shared" si="1"/>
        <v>0.15909103353867216</v>
      </c>
      <c r="F21" s="107">
        <f>VLOOKUP($A21,'Datenbank Substrate'!$13:$103,4,FALSE)/100</f>
        <v>8.8499999999999995E-2</v>
      </c>
      <c r="G21" s="108">
        <f t="shared" si="2"/>
        <v>1.4079556468172485E-2</v>
      </c>
      <c r="H21" s="106">
        <f t="shared" si="3"/>
        <v>14.079556468172486</v>
      </c>
      <c r="I21" s="109">
        <f>Abbaugrad!D23</f>
        <v>0.9999999802362165</v>
      </c>
      <c r="J21" s="122">
        <f>VLOOKUP($A21,'Datenbank Substrate'!$13:$103,12,FALSE)</f>
        <v>188.57</v>
      </c>
      <c r="K21" s="106">
        <f t="shared" si="4"/>
        <v>2.6549819107307964</v>
      </c>
      <c r="L21" s="106">
        <f>K21*Grundlagen!$B$6</f>
        <v>969.73214289442342</v>
      </c>
      <c r="M21" s="109">
        <f>VLOOKUP($A21,'Datenbank Substrate'!$13:$103,21,FALSE)</f>
        <v>0.6</v>
      </c>
      <c r="N21" s="106">
        <f t="shared" si="5"/>
        <v>113.142</v>
      </c>
      <c r="O21" s="106">
        <f t="shared" si="0"/>
        <v>1.5929891464384778</v>
      </c>
      <c r="P21" s="106">
        <f>O21*Grundlagen!$B$6</f>
        <v>581.83928573665401</v>
      </c>
      <c r="Q21" s="106">
        <f>O21*Grundlagen!$B$9</f>
        <v>15.878915811698747</v>
      </c>
      <c r="R21" s="106">
        <f>Q21*Grundlagen!$B$7</f>
        <v>139194.57600535121</v>
      </c>
      <c r="S21" s="155">
        <f t="shared" si="6"/>
        <v>0.66162149215411448</v>
      </c>
      <c r="T21" s="155" t="str">
        <f>Ausgangssubstrate!B21</f>
        <v>Co-S</v>
      </c>
      <c r="U21" s="110">
        <f t="shared" si="7"/>
        <v>4.5454545454545484E-2</v>
      </c>
    </row>
    <row r="22" spans="1:21" ht="16.5" thickTop="1" thickBot="1">
      <c r="A22" s="83" t="str">
        <f>Ausgangssubstrate!$A22</f>
        <v>Belebtschlamm, eingedickt</v>
      </c>
      <c r="B22" s="66">
        <f>Ausgangssubstrate!$C22</f>
        <v>365</v>
      </c>
      <c r="C22" s="120">
        <f>B22/Grundlagen!$B$6</f>
        <v>0.99931553730321698</v>
      </c>
      <c r="D22" s="107">
        <f>VLOOKUP($A22,'Datenbank Substrate'!$13:$103,3,FALSE)/100</f>
        <v>0.15920000000000001</v>
      </c>
      <c r="E22" s="108">
        <f t="shared" si="1"/>
        <v>0.15909103353867216</v>
      </c>
      <c r="F22" s="107">
        <f>VLOOKUP($A22,'Datenbank Substrate'!$13:$103,4,FALSE)/100</f>
        <v>8.8499999999999995E-2</v>
      </c>
      <c r="G22" s="108">
        <f t="shared" si="2"/>
        <v>1.4079556468172485E-2</v>
      </c>
      <c r="H22" s="106">
        <f t="shared" si="3"/>
        <v>14.079556468172486</v>
      </c>
      <c r="I22" s="109">
        <f>Abbaugrad!D24</f>
        <v>0.9999999802362165</v>
      </c>
      <c r="J22" s="122">
        <f>VLOOKUP($A22,'Datenbank Substrate'!$13:$103,12,FALSE)</f>
        <v>188.57</v>
      </c>
      <c r="K22" s="106">
        <f t="shared" si="4"/>
        <v>2.6549819107307964</v>
      </c>
      <c r="L22" s="106">
        <f>K22*Grundlagen!$B$6</f>
        <v>969.73214289442342</v>
      </c>
      <c r="M22" s="109">
        <f>VLOOKUP($A22,'Datenbank Substrate'!$13:$103,21,FALSE)</f>
        <v>0.6</v>
      </c>
      <c r="N22" s="106">
        <f t="shared" si="5"/>
        <v>113.142</v>
      </c>
      <c r="O22" s="106">
        <f t="shared" si="0"/>
        <v>1.5929891464384778</v>
      </c>
      <c r="P22" s="106">
        <f>O22*Grundlagen!$B$6</f>
        <v>581.83928573665401</v>
      </c>
      <c r="Q22" s="106">
        <f>O22*Grundlagen!$B$9</f>
        <v>15.878915811698747</v>
      </c>
      <c r="R22" s="106">
        <f>Q22*Grundlagen!$B$7</f>
        <v>139194.57600535121</v>
      </c>
      <c r="S22" s="155">
        <f t="shared" si="6"/>
        <v>0.66162149215411448</v>
      </c>
      <c r="T22" s="155" t="str">
        <f>Ausgangssubstrate!B22</f>
        <v>Co-S</v>
      </c>
      <c r="U22" s="110">
        <f t="shared" si="7"/>
        <v>4.5454545454545484E-2</v>
      </c>
    </row>
    <row r="23" spans="1:21" ht="16.5" thickTop="1" thickBot="1">
      <c r="A23" s="83" t="str">
        <f>Ausgangssubstrate!$A23</f>
        <v>Belebtschlamm, eingedickt</v>
      </c>
      <c r="B23" s="66">
        <f>Ausgangssubstrate!$C23</f>
        <v>365</v>
      </c>
      <c r="C23" s="120">
        <f>B23/Grundlagen!$B$6</f>
        <v>0.99931553730321698</v>
      </c>
      <c r="D23" s="107">
        <f>VLOOKUP($A23,'Datenbank Substrate'!$13:$103,3,FALSE)/100</f>
        <v>0.15920000000000001</v>
      </c>
      <c r="E23" s="108">
        <f t="shared" si="1"/>
        <v>0.15909103353867216</v>
      </c>
      <c r="F23" s="107">
        <f>VLOOKUP($A23,'Datenbank Substrate'!$13:$103,4,FALSE)/100</f>
        <v>8.8499999999999995E-2</v>
      </c>
      <c r="G23" s="108">
        <f t="shared" si="2"/>
        <v>1.4079556468172485E-2</v>
      </c>
      <c r="H23" s="106">
        <f t="shared" si="3"/>
        <v>14.079556468172486</v>
      </c>
      <c r="I23" s="109">
        <f>Abbaugrad!D25</f>
        <v>0.9999999802362165</v>
      </c>
      <c r="J23" s="122">
        <f>VLOOKUP($A23,'Datenbank Substrate'!$13:$103,12,FALSE)</f>
        <v>188.57</v>
      </c>
      <c r="K23" s="106">
        <f t="shared" si="4"/>
        <v>2.6549819107307964</v>
      </c>
      <c r="L23" s="106">
        <f>K23*Grundlagen!$B$6</f>
        <v>969.73214289442342</v>
      </c>
      <c r="M23" s="109">
        <f>VLOOKUP($A23,'Datenbank Substrate'!$13:$103,21,FALSE)</f>
        <v>0.6</v>
      </c>
      <c r="N23" s="106">
        <f t="shared" si="5"/>
        <v>113.142</v>
      </c>
      <c r="O23" s="106">
        <f t="shared" si="0"/>
        <v>1.5929891464384778</v>
      </c>
      <c r="P23" s="106">
        <f>O23*Grundlagen!$B$6</f>
        <v>581.83928573665401</v>
      </c>
      <c r="Q23" s="106">
        <f>O23*Grundlagen!$B$9</f>
        <v>15.878915811698747</v>
      </c>
      <c r="R23" s="106">
        <f>Q23*Grundlagen!$B$7</f>
        <v>139194.57600535121</v>
      </c>
      <c r="S23" s="155">
        <f t="shared" si="6"/>
        <v>0.66162149215411448</v>
      </c>
      <c r="T23" s="155" t="str">
        <f>Ausgangssubstrate!B23</f>
        <v>Co-S</v>
      </c>
      <c r="U23" s="110">
        <f t="shared" si="7"/>
        <v>4.5454545454545484E-2</v>
      </c>
    </row>
    <row r="24" spans="1:21" ht="16.5" thickTop="1" thickBot="1">
      <c r="A24" s="83" t="str">
        <f>Ausgangssubstrate!$A24</f>
        <v>Belebtschlamm, eingedickt</v>
      </c>
      <c r="B24" s="66">
        <f>Ausgangssubstrate!$C24</f>
        <v>365</v>
      </c>
      <c r="C24" s="120">
        <f>B24/Grundlagen!$B$6</f>
        <v>0.99931553730321698</v>
      </c>
      <c r="D24" s="107">
        <f>VLOOKUP($A24,'Datenbank Substrate'!$13:$103,3,FALSE)/100</f>
        <v>0.15920000000000001</v>
      </c>
      <c r="E24" s="108">
        <f t="shared" si="1"/>
        <v>0.15909103353867216</v>
      </c>
      <c r="F24" s="107">
        <f>VLOOKUP($A24,'Datenbank Substrate'!$13:$103,4,FALSE)/100</f>
        <v>8.8499999999999995E-2</v>
      </c>
      <c r="G24" s="108">
        <f t="shared" si="2"/>
        <v>1.4079556468172485E-2</v>
      </c>
      <c r="H24" s="106">
        <f t="shared" si="3"/>
        <v>14.079556468172486</v>
      </c>
      <c r="I24" s="109">
        <f>Abbaugrad!D26</f>
        <v>0.9999999802362165</v>
      </c>
      <c r="J24" s="122">
        <f>VLOOKUP($A24,'Datenbank Substrate'!$13:$103,12,FALSE)</f>
        <v>188.57</v>
      </c>
      <c r="K24" s="106">
        <f t="shared" si="4"/>
        <v>2.6549819107307964</v>
      </c>
      <c r="L24" s="106">
        <f>K24*Grundlagen!$B$6</f>
        <v>969.73214289442342</v>
      </c>
      <c r="M24" s="109">
        <f>VLOOKUP($A24,'Datenbank Substrate'!$13:$103,21,FALSE)</f>
        <v>0.6</v>
      </c>
      <c r="N24" s="106">
        <f t="shared" si="5"/>
        <v>113.142</v>
      </c>
      <c r="O24" s="106">
        <f t="shared" si="0"/>
        <v>1.5929891464384778</v>
      </c>
      <c r="P24" s="106">
        <f>O24*Grundlagen!$B$6</f>
        <v>581.83928573665401</v>
      </c>
      <c r="Q24" s="106">
        <f>O24*Grundlagen!$B$9</f>
        <v>15.878915811698747</v>
      </c>
      <c r="R24" s="106">
        <f>Q24*Grundlagen!$B$7</f>
        <v>139194.57600535121</v>
      </c>
      <c r="S24" s="155">
        <f t="shared" si="6"/>
        <v>0.66162149215411448</v>
      </c>
      <c r="T24" s="155" t="str">
        <f>Ausgangssubstrate!B24</f>
        <v>Co-S</v>
      </c>
      <c r="U24" s="110">
        <f t="shared" si="7"/>
        <v>4.5454545454545484E-2</v>
      </c>
    </row>
    <row r="25" spans="1:21" ht="16.5" thickTop="1" thickBot="1">
      <c r="A25" s="83" t="str">
        <f>Ausgangssubstrate!$A25</f>
        <v>Belebtschlamm, eingedickt</v>
      </c>
      <c r="B25" s="66">
        <f>Ausgangssubstrate!$C25</f>
        <v>365</v>
      </c>
      <c r="C25" s="120">
        <f>B25/Grundlagen!$B$6</f>
        <v>0.99931553730321698</v>
      </c>
      <c r="D25" s="107">
        <f>VLOOKUP($A25,'Datenbank Substrate'!$13:$103,3,FALSE)/100</f>
        <v>0.15920000000000001</v>
      </c>
      <c r="E25" s="108">
        <f t="shared" si="1"/>
        <v>0.15909103353867216</v>
      </c>
      <c r="F25" s="107">
        <f>VLOOKUP($A25,'Datenbank Substrate'!$13:$103,4,FALSE)/100</f>
        <v>8.8499999999999995E-2</v>
      </c>
      <c r="G25" s="108">
        <f t="shared" si="2"/>
        <v>1.4079556468172485E-2</v>
      </c>
      <c r="H25" s="106">
        <f t="shared" si="3"/>
        <v>14.079556468172486</v>
      </c>
      <c r="I25" s="109">
        <f>Abbaugrad!D27</f>
        <v>0.9999999802362165</v>
      </c>
      <c r="J25" s="122">
        <f>VLOOKUP($A25,'Datenbank Substrate'!$13:$103,12,FALSE)</f>
        <v>188.57</v>
      </c>
      <c r="K25" s="106">
        <f t="shared" si="4"/>
        <v>2.6549819107307964</v>
      </c>
      <c r="L25" s="106">
        <f>K25*Grundlagen!$B$6</f>
        <v>969.73214289442342</v>
      </c>
      <c r="M25" s="109">
        <f>VLOOKUP($A25,'Datenbank Substrate'!$13:$103,21,FALSE)</f>
        <v>0.6</v>
      </c>
      <c r="N25" s="106">
        <f t="shared" si="5"/>
        <v>113.142</v>
      </c>
      <c r="O25" s="106">
        <f t="shared" si="0"/>
        <v>1.5929891464384778</v>
      </c>
      <c r="P25" s="106">
        <f>O25*Grundlagen!$B$6</f>
        <v>581.83928573665401</v>
      </c>
      <c r="Q25" s="106">
        <f>O25*Grundlagen!$B$9</f>
        <v>15.878915811698747</v>
      </c>
      <c r="R25" s="106">
        <f>Q25*Grundlagen!$B$7</f>
        <v>139194.57600535121</v>
      </c>
      <c r="S25" s="155">
        <f t="shared" si="6"/>
        <v>0.66162149215411448</v>
      </c>
      <c r="T25" s="155" t="str">
        <f>Ausgangssubstrate!B25</f>
        <v>Co-S</v>
      </c>
      <c r="U25" s="110">
        <f t="shared" si="7"/>
        <v>4.5454545454545484E-2</v>
      </c>
    </row>
    <row r="26" spans="1:21" ht="16.5" thickTop="1" thickBot="1">
      <c r="A26" s="83" t="str">
        <f>Ausgangssubstrate!$A26</f>
        <v>Belebtschlamm, eingedickt</v>
      </c>
      <c r="B26" s="66">
        <f>Ausgangssubstrate!$C26</f>
        <v>365</v>
      </c>
      <c r="C26" s="120">
        <f>B26/Grundlagen!$B$6</f>
        <v>0.99931553730321698</v>
      </c>
      <c r="D26" s="107">
        <f>VLOOKUP($A26,'Datenbank Substrate'!$13:$103,3,FALSE)/100</f>
        <v>0.15920000000000001</v>
      </c>
      <c r="E26" s="108">
        <f t="shared" si="1"/>
        <v>0.15909103353867216</v>
      </c>
      <c r="F26" s="107">
        <f>VLOOKUP($A26,'Datenbank Substrate'!$13:$103,4,FALSE)/100</f>
        <v>8.8499999999999995E-2</v>
      </c>
      <c r="G26" s="108">
        <f t="shared" si="2"/>
        <v>1.4079556468172485E-2</v>
      </c>
      <c r="H26" s="106">
        <f t="shared" si="3"/>
        <v>14.079556468172486</v>
      </c>
      <c r="I26" s="109">
        <f>Abbaugrad!D28</f>
        <v>0.9999999802362165</v>
      </c>
      <c r="J26" s="122">
        <f>VLOOKUP($A26,'Datenbank Substrate'!$13:$103,12,FALSE)</f>
        <v>188.57</v>
      </c>
      <c r="K26" s="106">
        <f t="shared" si="4"/>
        <v>2.6549819107307964</v>
      </c>
      <c r="L26" s="106">
        <f>K26*Grundlagen!$B$6</f>
        <v>969.73214289442342</v>
      </c>
      <c r="M26" s="109">
        <f>VLOOKUP($A26,'Datenbank Substrate'!$13:$103,21,FALSE)</f>
        <v>0.6</v>
      </c>
      <c r="N26" s="106">
        <f t="shared" si="5"/>
        <v>113.142</v>
      </c>
      <c r="O26" s="106">
        <f t="shared" si="0"/>
        <v>1.5929891464384778</v>
      </c>
      <c r="P26" s="106">
        <f>O26*Grundlagen!$B$6</f>
        <v>581.83928573665401</v>
      </c>
      <c r="Q26" s="106">
        <f>O26*Grundlagen!$B$9</f>
        <v>15.878915811698747</v>
      </c>
      <c r="R26" s="106">
        <f>Q26*Grundlagen!$B$7</f>
        <v>139194.57600535121</v>
      </c>
      <c r="S26" s="155">
        <f t="shared" si="6"/>
        <v>0.66162149215411448</v>
      </c>
      <c r="T26" s="155" t="str">
        <f>Ausgangssubstrate!B26</f>
        <v>Co-S</v>
      </c>
      <c r="U26" s="110">
        <f t="shared" si="7"/>
        <v>4.5454545454545484E-2</v>
      </c>
    </row>
    <row r="27" spans="1:21" ht="16.5" thickTop="1" thickBot="1">
      <c r="A27" s="83" t="str">
        <f>Ausgangssubstrate!$A27</f>
        <v>Belebtschlamm, eingedickt</v>
      </c>
      <c r="B27" s="66">
        <f>Ausgangssubstrate!$C27</f>
        <v>365</v>
      </c>
      <c r="C27" s="120">
        <f>B27/Grundlagen!$B$6</f>
        <v>0.99931553730321698</v>
      </c>
      <c r="D27" s="107">
        <f>VLOOKUP($A27,'Datenbank Substrate'!$13:$103,3,FALSE)/100</f>
        <v>0.15920000000000001</v>
      </c>
      <c r="E27" s="108">
        <f t="shared" si="1"/>
        <v>0.15909103353867216</v>
      </c>
      <c r="F27" s="107">
        <f>VLOOKUP($A27,'Datenbank Substrate'!$13:$103,4,FALSE)/100</f>
        <v>8.8499999999999995E-2</v>
      </c>
      <c r="G27" s="108">
        <f t="shared" si="2"/>
        <v>1.4079556468172485E-2</v>
      </c>
      <c r="H27" s="106">
        <f t="shared" si="3"/>
        <v>14.079556468172486</v>
      </c>
      <c r="I27" s="109">
        <f>Abbaugrad!D29</f>
        <v>0.9999999802362165</v>
      </c>
      <c r="J27" s="122">
        <f>VLOOKUP($A27,'Datenbank Substrate'!$13:$103,12,FALSE)</f>
        <v>188.57</v>
      </c>
      <c r="K27" s="106">
        <f>G27*I27*J27</f>
        <v>2.6549819107307964</v>
      </c>
      <c r="L27" s="106">
        <f>K27*Grundlagen!$B$6</f>
        <v>969.73214289442342</v>
      </c>
      <c r="M27" s="109">
        <f>VLOOKUP($A27,'Datenbank Substrate'!$13:$103,21,FALSE)</f>
        <v>0.6</v>
      </c>
      <c r="N27" s="106">
        <f t="shared" si="5"/>
        <v>113.142</v>
      </c>
      <c r="O27" s="106">
        <f t="shared" si="0"/>
        <v>1.5929891464384778</v>
      </c>
      <c r="P27" s="106">
        <f>O27*Grundlagen!$B$6</f>
        <v>581.83928573665401</v>
      </c>
      <c r="Q27" s="106">
        <f>O27*Grundlagen!$B$9</f>
        <v>15.878915811698747</v>
      </c>
      <c r="R27" s="106">
        <f>Q27*Grundlagen!$B$7</f>
        <v>139194.57600535121</v>
      </c>
      <c r="S27" s="155">
        <f t="shared" si="6"/>
        <v>0.66162149215411448</v>
      </c>
      <c r="T27" s="155" t="str">
        <f>Ausgangssubstrate!B27</f>
        <v>Co-S</v>
      </c>
      <c r="U27" s="110">
        <f t="shared" si="7"/>
        <v>4.5454545454545484E-2</v>
      </c>
    </row>
    <row r="28" spans="1:21" s="8" customFormat="1" ht="16.5" thickTop="1" thickBot="1">
      <c r="A28" s="111" t="s">
        <v>521</v>
      </c>
      <c r="B28" s="48">
        <f>SUM(B6:B27)</f>
        <v>8030</v>
      </c>
      <c r="C28" s="48">
        <f>SUM(C6:C27)</f>
        <v>21.984941820670777</v>
      </c>
      <c r="D28" s="112">
        <f>E28/C28</f>
        <v>0.15920000000000009</v>
      </c>
      <c r="E28" s="112">
        <f>SUM(E6:E27)</f>
        <v>3.5000027378507896</v>
      </c>
      <c r="F28" s="121">
        <f>G28/E28</f>
        <v>8.8499999999999968E-2</v>
      </c>
      <c r="G28" s="112">
        <f>SUM(G6:G27)</f>
        <v>0.30975024229979475</v>
      </c>
      <c r="H28" s="48">
        <f>SUM(H6:H27)</f>
        <v>309.75024229979471</v>
      </c>
      <c r="I28" s="48"/>
      <c r="J28" s="114">
        <f>K28/G28</f>
        <v>188.56999627314329</v>
      </c>
      <c r="K28" s="48">
        <f>SUM(K6:K27)</f>
        <v>58.40960203607753</v>
      </c>
      <c r="L28" s="48">
        <f>SUM(L6:L27)</f>
        <v>21334.107143677316</v>
      </c>
      <c r="M28" s="113">
        <f>O28/K28</f>
        <v>0.59999999999999976</v>
      </c>
      <c r="N28" s="48">
        <f>J28*M28</f>
        <v>113.14199776388593</v>
      </c>
      <c r="O28" s="48">
        <f>SUM(O6:O27)</f>
        <v>35.045761221646501</v>
      </c>
      <c r="P28" s="48">
        <f>SUM(P6:P27)</f>
        <v>12800.464286206392</v>
      </c>
      <c r="Q28" s="48">
        <f>SUM(Q6:Q27)</f>
        <v>349.33614785737223</v>
      </c>
      <c r="R28" s="48">
        <f>Q28*Grundlagen!$B$7</f>
        <v>3062280.672117725</v>
      </c>
      <c r="S28" s="156">
        <f>SUM(S6:S26)</f>
        <v>13.894051335236407</v>
      </c>
      <c r="T28" s="156"/>
      <c r="U28" s="115">
        <f>SUM(U6:U27)</f>
        <v>1.0000000000000009</v>
      </c>
    </row>
    <row r="29" spans="1:21" ht="15.75" thickTop="1">
      <c r="A29" s="116"/>
      <c r="B29" s="116"/>
      <c r="C29" s="51" t="s">
        <v>547</v>
      </c>
      <c r="D29" s="51" t="s">
        <v>548</v>
      </c>
      <c r="E29" s="51" t="s">
        <v>547</v>
      </c>
      <c r="F29" s="51" t="s">
        <v>548</v>
      </c>
      <c r="G29" s="51" t="s">
        <v>547</v>
      </c>
      <c r="H29" s="51" t="s">
        <v>547</v>
      </c>
      <c r="I29" s="51" t="s">
        <v>548</v>
      </c>
      <c r="J29" s="51" t="s">
        <v>548</v>
      </c>
      <c r="K29" s="51" t="s">
        <v>547</v>
      </c>
      <c r="L29" s="51" t="s">
        <v>547</v>
      </c>
      <c r="M29" s="51" t="s">
        <v>548</v>
      </c>
      <c r="N29" s="51" t="s">
        <v>548</v>
      </c>
      <c r="O29" s="51" t="s">
        <v>547</v>
      </c>
      <c r="P29" s="51" t="s">
        <v>547</v>
      </c>
      <c r="Q29" s="51" t="s">
        <v>547</v>
      </c>
      <c r="R29" s="51" t="s">
        <v>547</v>
      </c>
      <c r="S29" s="51" t="s">
        <v>547</v>
      </c>
      <c r="T29" s="51"/>
      <c r="U29" s="51" t="s">
        <v>547</v>
      </c>
    </row>
    <row r="30" spans="1:21" ht="15">
      <c r="A30" s="116"/>
      <c r="B30" s="51"/>
      <c r="C30" s="51"/>
      <c r="D30" s="51"/>
      <c r="E30" s="51"/>
      <c r="F30" s="51"/>
      <c r="G30" s="51"/>
    </row>
    <row r="31" spans="1:21">
      <c r="B31" s="9"/>
      <c r="C31" s="9"/>
      <c r="D31" s="9"/>
    </row>
    <row r="32" spans="1:21">
      <c r="B32" s="9"/>
      <c r="C32" s="9"/>
      <c r="D32" s="9"/>
    </row>
    <row r="33" spans="2:20">
      <c r="B33" s="9"/>
      <c r="C33" s="9"/>
      <c r="D33" s="9"/>
    </row>
    <row r="34" spans="2:20">
      <c r="B34" s="9"/>
      <c r="C34" s="9"/>
      <c r="D34" s="9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2:20">
      <c r="B35" s="9"/>
      <c r="C35" s="9"/>
      <c r="D35" s="9"/>
    </row>
    <row r="36" spans="2:20">
      <c r="B36" s="9"/>
      <c r="C36" s="9"/>
      <c r="D36" s="9"/>
    </row>
    <row r="37" spans="2:20">
      <c r="B37" s="9"/>
      <c r="C37" s="9"/>
      <c r="D37" s="9"/>
    </row>
    <row r="38" spans="2:20">
      <c r="B38" s="9"/>
      <c r="C38" s="9"/>
      <c r="D38" s="9"/>
    </row>
    <row r="39" spans="2:20">
      <c r="B39" s="9"/>
      <c r="C39" s="9"/>
      <c r="D39" s="9"/>
    </row>
    <row r="40" spans="2:20">
      <c r="B40" s="9"/>
      <c r="C40" s="9"/>
      <c r="D40" s="9"/>
    </row>
    <row r="41" spans="2:20">
      <c r="B41" s="9"/>
      <c r="C41" s="9"/>
      <c r="D41" s="9"/>
    </row>
    <row r="42" spans="2:20" ht="15.75">
      <c r="B42" s="9"/>
      <c r="C42" s="9"/>
      <c r="D42" s="9"/>
      <c r="M42" s="117"/>
    </row>
    <row r="43" spans="2:20" s="8" customFormat="1" ht="15">
      <c r="D43" s="9"/>
      <c r="E43" s="9"/>
      <c r="F43" s="9"/>
      <c r="G43" s="9"/>
      <c r="H43" s="9"/>
      <c r="I43" s="9"/>
      <c r="J43" s="9"/>
      <c r="K43" s="9"/>
      <c r="L43" s="9"/>
      <c r="M43" s="118"/>
      <c r="N43" s="9"/>
      <c r="O43" s="9"/>
      <c r="P43" s="9"/>
      <c r="Q43" s="9"/>
      <c r="R43" s="9"/>
      <c r="S43" s="9"/>
      <c r="T43" s="9"/>
    </row>
    <row r="44" spans="2:20">
      <c r="B44" s="9"/>
      <c r="C44" s="9"/>
      <c r="D44" s="9"/>
    </row>
    <row r="45" spans="2:20">
      <c r="B45" s="9"/>
      <c r="C45" s="9"/>
      <c r="D45" s="9"/>
    </row>
    <row r="46" spans="2:20">
      <c r="B46" s="9"/>
      <c r="C46" s="9"/>
      <c r="D46" s="9"/>
    </row>
    <row r="47" spans="2:20">
      <c r="B47" s="9"/>
      <c r="C47" s="9"/>
      <c r="D47" s="9"/>
    </row>
    <row r="48" spans="2:20">
      <c r="C48" s="119"/>
      <c r="D48" s="9"/>
    </row>
    <row r="49" spans="4:20">
      <c r="D49" s="9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4:20">
      <c r="D50" s="9"/>
    </row>
    <row r="51" spans="4:20">
      <c r="D51" s="9"/>
    </row>
    <row r="52" spans="4:20">
      <c r="D52" s="9"/>
    </row>
    <row r="53" spans="4:20">
      <c r="D53" s="9"/>
    </row>
    <row r="54" spans="4:20">
      <c r="D54" s="9"/>
    </row>
    <row r="55" spans="4:20">
      <c r="D55" s="9"/>
    </row>
    <row r="56" spans="4:20">
      <c r="D56" s="9"/>
    </row>
    <row r="57" spans="4:20">
      <c r="D57" s="9"/>
    </row>
    <row r="58" spans="4:20">
      <c r="D58" s="9"/>
    </row>
    <row r="59" spans="4:20">
      <c r="D59" s="9"/>
    </row>
    <row r="60" spans="4:20">
      <c r="D60" s="9"/>
    </row>
    <row r="61" spans="4:20">
      <c r="D61" s="9"/>
    </row>
    <row r="62" spans="4:20">
      <c r="D62" s="9"/>
    </row>
    <row r="63" spans="4:20">
      <c r="D63" s="9"/>
    </row>
    <row r="64" spans="4:20">
      <c r="D64" s="9"/>
    </row>
    <row r="65" spans="4:4">
      <c r="D65" s="9"/>
    </row>
    <row r="66" spans="4:4">
      <c r="D66" s="9"/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7A71-71E4-4D73-AA26-EFCF31EA21F7}">
  <sheetPr>
    <tabColor theme="9" tint="0.59999389629810485"/>
  </sheetPr>
  <dimension ref="A1:T29"/>
  <sheetViews>
    <sheetView zoomScale="115" zoomScaleNormal="115" workbookViewId="0">
      <selection activeCell="B34" sqref="B34"/>
    </sheetView>
  </sheetViews>
  <sheetFormatPr defaultColWidth="11.42578125" defaultRowHeight="15"/>
  <cols>
    <col min="1" max="1" width="24.42578125" style="9" customWidth="1"/>
    <col min="2" max="2" width="13.5703125" style="8" bestFit="1" customWidth="1"/>
    <col min="3" max="3" width="14.140625" style="8" bestFit="1" customWidth="1"/>
    <col min="4" max="4" width="13.5703125" style="8" customWidth="1"/>
    <col min="5" max="5" width="12" style="8" bestFit="1" customWidth="1"/>
    <col min="6" max="6" width="13.5703125" style="9" bestFit="1" customWidth="1"/>
    <col min="7" max="8" width="9.85546875" style="9" bestFit="1" customWidth="1"/>
    <col min="9" max="9" width="8.140625" style="9" bestFit="1" customWidth="1"/>
    <col min="10" max="10" width="12.140625" style="9" bestFit="1" customWidth="1"/>
    <col min="11" max="11" width="2.5703125" style="9" customWidth="1"/>
    <col min="12" max="13" width="14.5703125" style="9" customWidth="1"/>
    <col min="14" max="14" width="15.42578125" style="9" bestFit="1" customWidth="1"/>
    <col min="15" max="15" width="11" style="9" bestFit="1" customWidth="1"/>
    <col min="16" max="16" width="10.85546875" style="9" bestFit="1" customWidth="1"/>
    <col min="17" max="17" width="10.85546875" style="9" customWidth="1"/>
    <col min="18" max="19" width="9.85546875" style="9" bestFit="1" customWidth="1"/>
    <col min="21" max="16384" width="11.42578125" style="9"/>
  </cols>
  <sheetData>
    <row r="1" spans="1:20" customFormat="1" ht="45" customHeight="1">
      <c r="A1" s="26"/>
      <c r="E1" s="20"/>
      <c r="F1" s="20"/>
      <c r="G1" s="6"/>
      <c r="H1" s="4"/>
      <c r="I1" s="20"/>
      <c r="J1" s="3"/>
    </row>
    <row r="2" spans="1:20" customFormat="1" ht="20.25" thickBot="1">
      <c r="A2" s="24" t="s">
        <v>549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20" customFormat="1" ht="15.75" thickTop="1"/>
    <row r="4" spans="1:20" customFormat="1" ht="18" thickBot="1">
      <c r="A4" s="42" t="s">
        <v>550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20" ht="19.5" thickTop="1" thickBot="1">
      <c r="A5" t="s">
        <v>551</v>
      </c>
      <c r="B5" s="62">
        <f>Grundlagen!B15</f>
        <v>0.37</v>
      </c>
      <c r="C5" s="5" t="s">
        <v>552</v>
      </c>
      <c r="T5" s="9"/>
    </row>
    <row r="6" spans="1:20" ht="19.5" thickTop="1" thickBot="1">
      <c r="A6" t="s">
        <v>553</v>
      </c>
      <c r="B6" s="62">
        <f>Grundlagen!B16</f>
        <v>0.4785276073619632</v>
      </c>
      <c r="C6" s="44" t="s">
        <v>554</v>
      </c>
      <c r="T6" s="9"/>
    </row>
    <row r="7" spans="1:20" ht="18.75" thickTop="1">
      <c r="A7" t="s">
        <v>413</v>
      </c>
      <c r="B7" s="39">
        <f>1-B6-B5</f>
        <v>0.1514723926380368</v>
      </c>
      <c r="C7" s="44" t="s">
        <v>554</v>
      </c>
      <c r="T7" s="9"/>
    </row>
    <row r="8" spans="1:20" ht="12.75">
      <c r="A8" s="7"/>
      <c r="B8" s="11"/>
      <c r="C8" s="11"/>
      <c r="D8" s="11"/>
      <c r="E8" s="12"/>
      <c r="T8" s="9"/>
    </row>
    <row r="9" spans="1:20" customFormat="1" ht="18" thickBot="1">
      <c r="A9" s="42" t="s">
        <v>555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spans="1:20" ht="15.75" thickTop="1">
      <c r="A10" t="s">
        <v>556</v>
      </c>
      <c r="B10" s="170">
        <f ca="1">SUMIF(Methanproduktion!T6:U27,Legende!C16,Methanproduktion!U6:U27)</f>
        <v>0.45454545454545475</v>
      </c>
      <c r="C10" s="5"/>
      <c r="T10" s="9"/>
    </row>
    <row r="11" spans="1:20">
      <c r="A11" t="s">
        <v>557</v>
      </c>
      <c r="B11" s="170">
        <f ca="1">SUMIF(Methanproduktion!T6:U27,Legende!C17,Methanproduktion!U6:U27)</f>
        <v>0.54545454545454575</v>
      </c>
      <c r="C11" s="5"/>
      <c r="T11" s="9"/>
    </row>
    <row r="12" spans="1:20" ht="12.75">
      <c r="A12" s="7"/>
      <c r="B12" s="11"/>
      <c r="C12" s="11"/>
      <c r="D12" s="11"/>
      <c r="E12" s="12"/>
      <c r="T12" s="9"/>
    </row>
    <row r="13" spans="1:20" ht="18" thickBot="1">
      <c r="A13" s="42" t="s">
        <v>122</v>
      </c>
      <c r="B13" s="157" t="s">
        <v>521</v>
      </c>
      <c r="C13" s="157" t="s">
        <v>558</v>
      </c>
      <c r="D13" s="157" t="s">
        <v>559</v>
      </c>
      <c r="E13" s="157" t="s">
        <v>387</v>
      </c>
      <c r="L13" s="10"/>
      <c r="M13" s="10"/>
      <c r="T13" s="9"/>
    </row>
    <row r="14" spans="1:20" ht="18" thickTop="1">
      <c r="A14" t="s">
        <v>560</v>
      </c>
      <c r="B14" s="41">
        <f>Methanproduktion!Q28/Grundlagen!$B$5</f>
        <v>14.555672827390509</v>
      </c>
      <c r="C14" s="41">
        <f ca="1">$B$10*B14</f>
        <v>6.6162149215411432</v>
      </c>
      <c r="D14" s="41">
        <f ca="1">$B$11*B14</f>
        <v>7.9394579058493733</v>
      </c>
      <c r="E14" s="44" t="s">
        <v>561</v>
      </c>
      <c r="T14" s="9"/>
    </row>
    <row r="15" spans="1:20" ht="17.25">
      <c r="A15" t="s">
        <v>562</v>
      </c>
      <c r="B15" s="41">
        <f>Methanproduktion!Q28</f>
        <v>349.33614785737223</v>
      </c>
      <c r="C15" s="41">
        <f t="shared" ref="C15:C28" ca="1" si="0">$B$10*B15</f>
        <v>158.78915811698744</v>
      </c>
      <c r="D15" s="41">
        <f t="shared" ref="D15:D16" ca="1" si="1">$B$11*B15</f>
        <v>190.54698974038496</v>
      </c>
      <c r="E15" s="44" t="s">
        <v>563</v>
      </c>
      <c r="T15" s="9"/>
    </row>
    <row r="16" spans="1:20" ht="17.25">
      <c r="A16" t="s">
        <v>564</v>
      </c>
      <c r="B16" s="41">
        <f>B15*Grundlagen!$B$6/1000</f>
        <v>127.5950280049052</v>
      </c>
      <c r="C16" s="41">
        <f t="shared" ca="1" si="0"/>
        <v>57.997740002229662</v>
      </c>
      <c r="D16" s="41">
        <f t="shared" ca="1" si="1"/>
        <v>69.597288002675597</v>
      </c>
      <c r="E16" s="44" t="s">
        <v>565</v>
      </c>
      <c r="T16" s="9"/>
    </row>
    <row r="17" spans="1:20" ht="5.45" customHeight="1">
      <c r="A17"/>
      <c r="B17" s="44"/>
      <c r="C17" s="44"/>
      <c r="D17" s="44"/>
      <c r="E17" s="44"/>
      <c r="T17" s="9"/>
    </row>
    <row r="18" spans="1:20" ht="18.75">
      <c r="A18" t="s">
        <v>566</v>
      </c>
      <c r="B18" s="41">
        <f>B14*$B$5</f>
        <v>5.385598946134488</v>
      </c>
      <c r="C18" s="41">
        <f t="shared" ca="1" si="0"/>
        <v>2.4479995209702228</v>
      </c>
      <c r="D18" s="41">
        <f t="shared" ref="D18:D20" ca="1" si="2">$B$11*B18</f>
        <v>2.9375994251642679</v>
      </c>
      <c r="E18" s="44" t="s">
        <v>567</v>
      </c>
      <c r="T18" s="9"/>
    </row>
    <row r="19" spans="1:20" ht="18.75">
      <c r="A19" t="s">
        <v>568</v>
      </c>
      <c r="B19" s="41">
        <f>B15*$B$5</f>
        <v>129.25437470722773</v>
      </c>
      <c r="C19" s="41">
        <f t="shared" ca="1" si="0"/>
        <v>58.751988503285354</v>
      </c>
      <c r="D19" s="41">
        <f t="shared" ca="1" si="2"/>
        <v>70.502386203942436</v>
      </c>
      <c r="E19" s="44" t="s">
        <v>569</v>
      </c>
      <c r="T19" s="9"/>
    </row>
    <row r="20" spans="1:20" ht="18.75">
      <c r="A20" t="s">
        <v>570</v>
      </c>
      <c r="B20" s="41">
        <f>B16*$B$5</f>
        <v>47.210160361814921</v>
      </c>
      <c r="C20" s="41">
        <f t="shared" ca="1" si="0"/>
        <v>21.459163800824975</v>
      </c>
      <c r="D20" s="41">
        <f t="shared" ca="1" si="2"/>
        <v>25.750996560989972</v>
      </c>
      <c r="E20" s="44" t="s">
        <v>571</v>
      </c>
      <c r="T20" s="9"/>
    </row>
    <row r="21" spans="1:20" ht="5.45" customHeight="1">
      <c r="A21"/>
      <c r="B21" s="44"/>
      <c r="C21" s="44"/>
      <c r="D21" s="44"/>
      <c r="E21" s="44"/>
      <c r="T21" s="9"/>
    </row>
    <row r="22" spans="1:20" ht="18.75">
      <c r="A22" t="s">
        <v>572</v>
      </c>
      <c r="B22" s="41">
        <f>B14*$B$6</f>
        <v>6.9652912916347223</v>
      </c>
      <c r="C22" s="41">
        <f t="shared" ca="1" si="0"/>
        <v>3.1660414961976024</v>
      </c>
      <c r="D22" s="41">
        <f t="shared" ref="D22:D24" ca="1" si="3">$B$11*B22</f>
        <v>3.7992497954371234</v>
      </c>
      <c r="E22" s="44" t="s">
        <v>573</v>
      </c>
      <c r="T22" s="9"/>
    </row>
    <row r="23" spans="1:20" ht="18.75">
      <c r="A23" t="s">
        <v>574</v>
      </c>
      <c r="B23" s="41">
        <f>B15*$B$6</f>
        <v>167.16699099923335</v>
      </c>
      <c r="C23" s="41">
        <f t="shared" ca="1" si="0"/>
        <v>75.984995908742462</v>
      </c>
      <c r="D23" s="41">
        <f t="shared" ca="1" si="3"/>
        <v>91.181995090490972</v>
      </c>
      <c r="E23" s="44" t="s">
        <v>575</v>
      </c>
      <c r="T23" s="9"/>
    </row>
    <row r="24" spans="1:20" ht="18.75">
      <c r="A24" t="s">
        <v>576</v>
      </c>
      <c r="B24" s="41">
        <f>B16*$B$6</f>
        <v>61.057743462469979</v>
      </c>
      <c r="C24" s="41">
        <f t="shared" ca="1" si="0"/>
        <v>27.753519755668187</v>
      </c>
      <c r="D24" s="41">
        <f t="shared" ca="1" si="3"/>
        <v>33.304223706801828</v>
      </c>
      <c r="E24" s="44" t="s">
        <v>577</v>
      </c>
      <c r="T24" s="9"/>
    </row>
    <row r="25" spans="1:20" ht="5.45" customHeight="1">
      <c r="A25"/>
      <c r="B25" s="44"/>
      <c r="C25" s="44"/>
      <c r="D25" s="44"/>
      <c r="E25" s="44"/>
      <c r="T25" s="9"/>
    </row>
    <row r="26" spans="1:20" ht="15.75" thickBot="1">
      <c r="A26" t="s">
        <v>578</v>
      </c>
      <c r="B26" s="50">
        <f>B14</f>
        <v>14.555672827390509</v>
      </c>
      <c r="C26" s="50">
        <f t="shared" ca="1" si="0"/>
        <v>6.6162149215411432</v>
      </c>
      <c r="D26" s="50">
        <f t="shared" ref="D26:D28" ca="1" si="4">$B$11*B26</f>
        <v>7.9394579058493733</v>
      </c>
      <c r="E26" s="44" t="s">
        <v>546</v>
      </c>
      <c r="T26" s="9"/>
    </row>
    <row r="27" spans="1:20" ht="16.5" thickTop="1" thickBot="1">
      <c r="A27" t="s">
        <v>579</v>
      </c>
      <c r="B27" s="50">
        <f>B26*B5</f>
        <v>5.385598946134488</v>
      </c>
      <c r="C27" s="50">
        <f t="shared" ca="1" si="0"/>
        <v>2.4479995209702228</v>
      </c>
      <c r="D27" s="50">
        <f t="shared" ca="1" si="4"/>
        <v>2.9375994251642679</v>
      </c>
      <c r="E27" s="44" t="s">
        <v>546</v>
      </c>
    </row>
    <row r="28" spans="1:20" ht="16.5" thickTop="1" thickBot="1">
      <c r="A28" t="s">
        <v>580</v>
      </c>
      <c r="B28" s="50">
        <f>B26*B6</f>
        <v>6.9652912916347223</v>
      </c>
      <c r="C28" s="50">
        <f t="shared" ca="1" si="0"/>
        <v>3.1660414961976024</v>
      </c>
      <c r="D28" s="50">
        <f t="shared" ca="1" si="4"/>
        <v>3.7992497954371234</v>
      </c>
      <c r="E28" s="44" t="s">
        <v>546</v>
      </c>
    </row>
    <row r="29" spans="1:20" ht="15.75" thickTop="1">
      <c r="A29"/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227C1-1B82-413D-9697-CC501D7A718B}">
  <sheetPr>
    <tabColor theme="9" tint="0.59999389629810485"/>
  </sheetPr>
  <dimension ref="A1:S20"/>
  <sheetViews>
    <sheetView zoomScale="115" zoomScaleNormal="115" workbookViewId="0">
      <selection activeCell="B16" sqref="B16"/>
    </sheetView>
  </sheetViews>
  <sheetFormatPr defaultColWidth="11.42578125" defaultRowHeight="15"/>
  <cols>
    <col min="1" max="1" width="25.42578125" style="9" customWidth="1"/>
    <col min="2" max="2" width="13.5703125" style="8" bestFit="1" customWidth="1"/>
    <col min="3" max="3" width="19.5703125" style="8" bestFit="1" customWidth="1"/>
    <col min="4" max="4" width="57" style="8" bestFit="1" customWidth="1"/>
    <col min="5" max="5" width="13.5703125" style="9" bestFit="1" customWidth="1"/>
    <col min="6" max="7" width="9.85546875" style="9" bestFit="1" customWidth="1"/>
    <col min="8" max="8" width="8.140625" style="9" bestFit="1" customWidth="1"/>
    <col min="9" max="9" width="12.140625" style="9" bestFit="1" customWidth="1"/>
    <col min="10" max="10" width="2.5703125" style="9" customWidth="1"/>
    <col min="11" max="12" width="14.5703125" style="9" customWidth="1"/>
    <col min="13" max="13" width="15.42578125" style="9" bestFit="1" customWidth="1"/>
    <col min="14" max="14" width="11" style="9" bestFit="1" customWidth="1"/>
    <col min="15" max="15" width="10.85546875" style="9" bestFit="1" customWidth="1"/>
    <col min="16" max="16" width="10.85546875" style="9" customWidth="1"/>
    <col min="17" max="18" width="9.85546875" style="9" bestFit="1" customWidth="1"/>
    <col min="20" max="16384" width="11.42578125" style="9"/>
  </cols>
  <sheetData>
    <row r="1" spans="1:19" customFormat="1" ht="45" customHeight="1">
      <c r="A1" s="26"/>
      <c r="C1" s="20"/>
      <c r="D1" s="20"/>
      <c r="E1" s="6"/>
      <c r="F1" s="4"/>
      <c r="G1" s="20"/>
      <c r="H1" s="3"/>
    </row>
    <row r="2" spans="1:19" customFormat="1" ht="20.25" thickBot="1">
      <c r="A2" s="24" t="s">
        <v>581</v>
      </c>
      <c r="B2" s="24"/>
      <c r="C2" s="24"/>
      <c r="D2" s="24"/>
      <c r="E2" s="6"/>
      <c r="F2" s="4"/>
      <c r="G2" s="20"/>
      <c r="H2" s="3"/>
    </row>
    <row r="3" spans="1:19" customFormat="1" ht="15.75" thickTop="1">
      <c r="D3" s="20"/>
      <c r="E3" s="6"/>
      <c r="F3" s="4"/>
      <c r="G3" s="20"/>
      <c r="H3" s="3"/>
    </row>
    <row r="4" spans="1:19" ht="18" thickBot="1">
      <c r="A4" s="42" t="s">
        <v>582</v>
      </c>
      <c r="B4" s="42"/>
      <c r="C4" s="42"/>
      <c r="D4" s="42"/>
      <c r="K4" s="10"/>
      <c r="L4" s="10"/>
      <c r="S4" s="9"/>
    </row>
    <row r="5" spans="1:19" ht="18" thickTop="1">
      <c r="A5" t="s">
        <v>583</v>
      </c>
      <c r="B5" s="41">
        <f>IF(AND(Anlagendaten!B5=Anlagendaten!C5,Anlagendaten!B6=Anlagendaten!C6),Anlagendaten!B10,IF(AND(Anlagendaten!B5=Anlagendaten!C5,Anlagendaten!B6=Anlagendaten!D6),Anlagendaten!B10,IF(AND(Anlagendaten!B5=Anlagendaten!D5,Anlagendaten!B6=Anlagendaten!C6),Anlagendaten!B10+Anlagendaten!B11,Anlagendaten!B10+Anlagendaten!B11+Anlagendaten!B12)))</f>
        <v>1000</v>
      </c>
      <c r="C5" s="5" t="s">
        <v>99</v>
      </c>
      <c r="D5" s="51" t="s">
        <v>584</v>
      </c>
      <c r="S5" s="9"/>
    </row>
    <row r="6" spans="1:19" ht="17.25">
      <c r="A6" t="s">
        <v>585</v>
      </c>
      <c r="B6" s="41">
        <f>IF(AND(Anlagendaten!B5=Anlagendaten!C5,Anlagendaten!B6=Anlagendaten!C6),Anlagendaten!B11,IF(AND(Anlagendaten!B5=Anlagendaten!C5,Anlagendaten!B6=Anlagendaten!D6),Anlagendaten!B11+Anlagendaten!B12,IF(AND(Anlagendaten!B5=Anlagendaten!D5,Anlagendaten!B6=Anlagendaten!C6),Anlagendaten!B12,0)))</f>
        <v>2000</v>
      </c>
      <c r="C6" s="5" t="s">
        <v>99</v>
      </c>
      <c r="D6" s="51" t="s">
        <v>584</v>
      </c>
      <c r="S6" s="9"/>
    </row>
    <row r="7" spans="1:19" ht="17.25">
      <c r="A7" t="s">
        <v>586</v>
      </c>
      <c r="B7" s="41">
        <f>IF(AND(Anlagendaten!B5=Anlagendaten!C5,Anlagendaten!B6=Anlagendaten!C6),Anlagendaten!B12,0)</f>
        <v>0</v>
      </c>
      <c r="C7" s="5" t="s">
        <v>99</v>
      </c>
      <c r="D7" s="51" t="s">
        <v>584</v>
      </c>
      <c r="S7" s="9"/>
    </row>
    <row r="8" spans="1:19" ht="18" thickBot="1">
      <c r="A8" s="1" t="s">
        <v>587</v>
      </c>
      <c r="B8" s="65">
        <f>SUM(Anlagendaten!B10:B12)</f>
        <v>3000</v>
      </c>
      <c r="C8" s="14" t="s">
        <v>588</v>
      </c>
      <c r="D8" s="31" t="s">
        <v>589</v>
      </c>
      <c r="S8" s="9"/>
    </row>
    <row r="9" spans="1:19" ht="15.75" thickTop="1"/>
    <row r="10" spans="1:19" ht="18" thickBot="1">
      <c r="A10" s="42" t="s">
        <v>590</v>
      </c>
      <c r="B10" s="42"/>
      <c r="C10" s="42"/>
      <c r="D10" s="42"/>
    </row>
    <row r="11" spans="1:19" ht="16.5" thickTop="1" thickBot="1">
      <c r="A11" t="s">
        <v>591</v>
      </c>
      <c r="B11" s="52">
        <f>Verweilzeit!B5/Methanproduktion!$C$28</f>
        <v>45.485678704856781</v>
      </c>
      <c r="C11" s="5" t="s">
        <v>168</v>
      </c>
      <c r="D11" s="51"/>
    </row>
    <row r="12" spans="1:19" ht="16.5" thickTop="1" thickBot="1">
      <c r="A12" t="s">
        <v>592</v>
      </c>
      <c r="B12" s="52">
        <f>Verweilzeit!B6/Methanproduktion!$C$28</f>
        <v>90.971357409713562</v>
      </c>
      <c r="C12" s="5" t="s">
        <v>168</v>
      </c>
      <c r="D12" s="53" t="s">
        <v>593</v>
      </c>
    </row>
    <row r="13" spans="1:19" ht="16.5" thickTop="1" thickBot="1">
      <c r="A13" t="s">
        <v>594</v>
      </c>
      <c r="B13" s="52">
        <f>Verweilzeit!B7/Methanproduktion!$C$28</f>
        <v>0</v>
      </c>
      <c r="C13" s="5" t="s">
        <v>168</v>
      </c>
      <c r="D13" s="53" t="s">
        <v>595</v>
      </c>
    </row>
    <row r="14" spans="1:19" ht="16.5" thickTop="1" thickBot="1">
      <c r="A14" s="1" t="s">
        <v>596</v>
      </c>
      <c r="B14" s="153">
        <f>Verweilzeit!B8/Methanproduktion!$C$28</f>
        <v>136.45703611457034</v>
      </c>
      <c r="C14" s="14" t="s">
        <v>168</v>
      </c>
      <c r="D14" s="53" t="s">
        <v>597</v>
      </c>
    </row>
    <row r="15" spans="1:19" ht="15.75" thickTop="1"/>
    <row r="16" spans="1:19">
      <c r="B16" s="9"/>
      <c r="C16" s="9"/>
      <c r="D16" s="9"/>
    </row>
    <row r="17" spans="2:4">
      <c r="B17" s="9"/>
      <c r="C17" s="9"/>
      <c r="D17" s="9"/>
    </row>
    <row r="18" spans="2:4">
      <c r="B18" s="9"/>
      <c r="C18" s="9"/>
      <c r="D18" s="9"/>
    </row>
    <row r="19" spans="2:4">
      <c r="B19" s="9"/>
      <c r="C19" s="9"/>
      <c r="D19" s="9"/>
    </row>
    <row r="20" spans="2:4">
      <c r="B20" s="9"/>
      <c r="C20" s="9"/>
      <c r="D20" s="9"/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8C05-38F0-4664-92B6-1A4511F6B627}">
  <sheetPr>
    <tabColor theme="9" tint="0.59999389629810485"/>
  </sheetPr>
  <dimension ref="A1:S15"/>
  <sheetViews>
    <sheetView zoomScaleNormal="100" workbookViewId="0">
      <selection activeCell="D23" sqref="D23"/>
    </sheetView>
  </sheetViews>
  <sheetFormatPr defaultColWidth="11.42578125" defaultRowHeight="15"/>
  <cols>
    <col min="1" max="1" width="24.42578125" style="9" customWidth="1"/>
    <col min="2" max="2" width="13.5703125" style="8" bestFit="1" customWidth="1"/>
    <col min="3" max="3" width="13.42578125" style="8" bestFit="1" customWidth="1"/>
    <col min="4" max="4" width="38.7109375" style="8" bestFit="1" customWidth="1"/>
    <col min="5" max="5" width="33.140625" style="9" bestFit="1" customWidth="1"/>
    <col min="6" max="7" width="9.85546875" style="9" bestFit="1" customWidth="1"/>
    <col min="8" max="8" width="8.140625" style="9" bestFit="1" customWidth="1"/>
    <col min="9" max="9" width="12.140625" style="9" bestFit="1" customWidth="1"/>
    <col min="10" max="10" width="2.5703125" style="9" customWidth="1"/>
    <col min="11" max="12" width="14.5703125" style="9" customWidth="1"/>
    <col min="13" max="13" width="15.42578125" style="9" bestFit="1" customWidth="1"/>
    <col min="14" max="14" width="11" style="9" bestFit="1" customWidth="1"/>
    <col min="15" max="15" width="10.85546875" style="9" bestFit="1" customWidth="1"/>
    <col min="16" max="16" width="10.85546875" style="9" customWidth="1"/>
    <col min="17" max="18" width="9.85546875" style="9" bestFit="1" customWidth="1"/>
    <col min="20" max="16384" width="11.42578125" style="9"/>
  </cols>
  <sheetData>
    <row r="1" spans="1:19" customFormat="1" ht="45" customHeight="1">
      <c r="A1" s="26"/>
      <c r="C1" s="20"/>
      <c r="D1" s="20"/>
      <c r="E1" s="6"/>
      <c r="F1" s="4"/>
      <c r="G1" s="20"/>
      <c r="H1" s="3"/>
    </row>
    <row r="2" spans="1:19" customFormat="1" ht="20.25" thickBot="1">
      <c r="A2" s="24" t="s">
        <v>598</v>
      </c>
      <c r="B2" s="24"/>
      <c r="C2" s="24"/>
      <c r="D2" s="24"/>
      <c r="E2" s="6"/>
      <c r="F2" s="4"/>
      <c r="G2" s="20"/>
      <c r="H2" s="3"/>
    </row>
    <row r="3" spans="1:19" customFormat="1" ht="15.75" thickTop="1">
      <c r="D3" s="20"/>
      <c r="E3" s="6"/>
      <c r="F3" s="4"/>
      <c r="G3" s="20"/>
      <c r="H3" s="3"/>
    </row>
    <row r="4" spans="1:19" ht="18" thickBot="1">
      <c r="A4" s="42" t="s">
        <v>582</v>
      </c>
      <c r="B4" s="42"/>
      <c r="C4" s="42"/>
      <c r="D4" s="42"/>
      <c r="K4" s="10"/>
      <c r="L4" s="10"/>
      <c r="S4" s="9"/>
    </row>
    <row r="5" spans="1:19" ht="18.75" thickTop="1" thickBot="1">
      <c r="A5" t="s">
        <v>583</v>
      </c>
      <c r="B5" s="66">
        <f>Verweilzeit!B5</f>
        <v>1000</v>
      </c>
      <c r="C5" s="5" t="s">
        <v>99</v>
      </c>
      <c r="D5" s="51" t="s">
        <v>584</v>
      </c>
      <c r="S5" s="9"/>
    </row>
    <row r="6" spans="1:19" ht="18.75" thickTop="1" thickBot="1">
      <c r="A6" t="s">
        <v>585</v>
      </c>
      <c r="B6" s="66">
        <f>Verweilzeit!B6</f>
        <v>2000</v>
      </c>
      <c r="C6" s="5" t="s">
        <v>99</v>
      </c>
      <c r="D6" s="51" t="s">
        <v>584</v>
      </c>
      <c r="S6" s="9"/>
    </row>
    <row r="7" spans="1:19" ht="18.75" thickTop="1" thickBot="1">
      <c r="A7" t="s">
        <v>586</v>
      </c>
      <c r="B7" s="66">
        <f>Verweilzeit!B7</f>
        <v>0</v>
      </c>
      <c r="C7" s="5" t="s">
        <v>99</v>
      </c>
      <c r="D7" s="51" t="s">
        <v>584</v>
      </c>
      <c r="S7" s="9"/>
    </row>
    <row r="8" spans="1:19" ht="18.75" thickTop="1" thickBot="1">
      <c r="A8" s="1" t="s">
        <v>599</v>
      </c>
      <c r="B8" s="66">
        <f>Verweilzeit!B8</f>
        <v>3000</v>
      </c>
      <c r="C8" s="14" t="s">
        <v>588</v>
      </c>
      <c r="D8" s="31" t="s">
        <v>600</v>
      </c>
      <c r="S8" s="9"/>
    </row>
    <row r="9" spans="1:19" ht="15.75" thickTop="1"/>
    <row r="10" spans="1:19" ht="23.25" thickBot="1">
      <c r="A10" s="24" t="s">
        <v>601</v>
      </c>
      <c r="B10" s="24"/>
      <c r="C10" s="24"/>
      <c r="D10" s="24"/>
    </row>
    <row r="11" spans="1:19" ht="20.25" thickTop="1" thickBot="1">
      <c r="A11" t="s">
        <v>602</v>
      </c>
      <c r="B11" s="178">
        <f>Methanproduktion!$H$28/B5</f>
        <v>0.3097502422997947</v>
      </c>
      <c r="C11" s="5" t="s">
        <v>173</v>
      </c>
      <c r="D11" s="51"/>
    </row>
    <row r="12" spans="1:19" ht="20.25" thickTop="1" thickBot="1">
      <c r="A12" t="s">
        <v>603</v>
      </c>
      <c r="B12" s="179">
        <f>Methanproduktion!$H$28/B6</f>
        <v>0.15487512114989735</v>
      </c>
      <c r="C12" s="5" t="s">
        <v>173</v>
      </c>
      <c r="D12" s="53" t="s">
        <v>593</v>
      </c>
    </row>
    <row r="13" spans="1:19" ht="20.25" thickTop="1" thickBot="1">
      <c r="A13" t="s">
        <v>604</v>
      </c>
      <c r="B13" s="179" t="e">
        <f>Methanproduktion!$H$28/B7</f>
        <v>#DIV/0!</v>
      </c>
      <c r="C13" s="5" t="s">
        <v>173</v>
      </c>
      <c r="D13" s="53" t="s">
        <v>595</v>
      </c>
    </row>
    <row r="14" spans="1:19" ht="20.25" thickTop="1" thickBot="1">
      <c r="A14" t="s">
        <v>605</v>
      </c>
      <c r="B14" s="179">
        <f>Methanproduktion!$H$28/B8</f>
        <v>0.10325008076659824</v>
      </c>
      <c r="C14" s="5" t="s">
        <v>173</v>
      </c>
      <c r="D14" s="53" t="s">
        <v>606</v>
      </c>
    </row>
    <row r="15" spans="1:19" ht="5.45" customHeight="1" thickTop="1">
      <c r="A15"/>
      <c r="B15" s="44"/>
      <c r="C15" s="44"/>
      <c r="D15" s="31"/>
      <c r="S15" s="9"/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E50"/>
  <sheetViews>
    <sheetView zoomScale="115" zoomScaleNormal="115" zoomScalePageLayoutView="160" workbookViewId="0">
      <pane ySplit="1" topLeftCell="A5" activePane="bottomLeft" state="frozen"/>
      <selection pane="bottomLeft"/>
    </sheetView>
  </sheetViews>
  <sheetFormatPr defaultColWidth="11.42578125" defaultRowHeight="15"/>
  <cols>
    <col min="1" max="1" width="4.42578125" style="1" bestFit="1" customWidth="1"/>
    <col min="2" max="2" width="25.42578125" style="1" bestFit="1" customWidth="1"/>
    <col min="3" max="3" width="14.140625" style="1" bestFit="1" customWidth="1"/>
    <col min="4" max="4" width="78.85546875" bestFit="1" customWidth="1"/>
    <col min="5" max="5" width="17.85546875" style="1" customWidth="1"/>
    <col min="6" max="6" width="11.85546875" bestFit="1" customWidth="1"/>
    <col min="7" max="7" width="11.5703125" bestFit="1" customWidth="1"/>
    <col min="8" max="8" width="12.42578125" customWidth="1"/>
    <col min="9" max="9" width="17.85546875" bestFit="1" customWidth="1"/>
    <col min="10" max="10" width="15.140625" bestFit="1" customWidth="1"/>
    <col min="11" max="11" width="10.140625" bestFit="1" customWidth="1"/>
    <col min="12" max="12" width="10.85546875" bestFit="1" customWidth="1"/>
    <col min="13" max="13" width="12.42578125" bestFit="1" customWidth="1"/>
    <col min="14" max="14" width="12.140625" bestFit="1" customWidth="1"/>
  </cols>
  <sheetData>
    <row r="1" spans="1:5" ht="20.25" thickBot="1">
      <c r="A1" s="96" t="s">
        <v>15</v>
      </c>
      <c r="B1" s="24" t="s">
        <v>39</v>
      </c>
      <c r="C1" s="96" t="s">
        <v>40</v>
      </c>
      <c r="D1" s="24" t="s">
        <v>0</v>
      </c>
    </row>
    <row r="2" spans="1:5" ht="15.75" thickTop="1">
      <c r="A2" s="85"/>
      <c r="B2" t="s">
        <v>0</v>
      </c>
      <c r="D2" t="s">
        <v>41</v>
      </c>
    </row>
    <row r="3" spans="1:5" ht="7.5" customHeight="1">
      <c r="A3" s="84"/>
      <c r="B3"/>
      <c r="C3"/>
    </row>
    <row r="4" spans="1:5" ht="20.25" thickBot="1">
      <c r="A4" s="24"/>
      <c r="B4" s="24"/>
      <c r="C4" s="24"/>
      <c r="D4" s="24" t="s">
        <v>42</v>
      </c>
    </row>
    <row r="5" spans="1:5" ht="15.75" thickTop="1">
      <c r="A5" s="85"/>
      <c r="B5" s="25" t="s">
        <v>43</v>
      </c>
      <c r="C5" t="s">
        <v>44</v>
      </c>
      <c r="D5" t="s">
        <v>43</v>
      </c>
    </row>
    <row r="6" spans="1:5" ht="7.5" customHeight="1">
      <c r="A6" s="84"/>
      <c r="B6"/>
    </row>
    <row r="7" spans="1:5" ht="20.25" thickBot="1">
      <c r="A7" s="24"/>
      <c r="B7" s="24"/>
      <c r="C7" s="24"/>
      <c r="D7" s="24" t="s">
        <v>45</v>
      </c>
    </row>
    <row r="8" spans="1:5" ht="14.1" customHeight="1" thickTop="1">
      <c r="A8" s="85"/>
      <c r="B8" s="25" t="s">
        <v>46</v>
      </c>
      <c r="C8" t="s">
        <v>47</v>
      </c>
      <c r="D8" t="s">
        <v>48</v>
      </c>
    </row>
    <row r="9" spans="1:5">
      <c r="A9" s="85"/>
      <c r="B9" t="s">
        <v>49</v>
      </c>
      <c r="C9" t="s">
        <v>50</v>
      </c>
      <c r="D9" s="75" t="s">
        <v>51</v>
      </c>
    </row>
    <row r="10" spans="1:5">
      <c r="A10" s="85"/>
      <c r="B10" s="25" t="s">
        <v>46</v>
      </c>
      <c r="C10"/>
      <c r="D10" t="s">
        <v>52</v>
      </c>
    </row>
    <row r="11" spans="1:5" s="7" customFormat="1">
      <c r="A11" s="85"/>
      <c r="B11" s="25" t="s">
        <v>46</v>
      </c>
      <c r="C11" t="s">
        <v>53</v>
      </c>
      <c r="D11" s="75" t="s">
        <v>54</v>
      </c>
      <c r="E11" s="74"/>
    </row>
    <row r="12" spans="1:5" s="7" customFormat="1">
      <c r="A12" s="85"/>
      <c r="B12" s="19" t="s">
        <v>55</v>
      </c>
      <c r="C12" t="s">
        <v>53</v>
      </c>
      <c r="D12" s="75" t="s">
        <v>56</v>
      </c>
      <c r="E12" s="74"/>
    </row>
    <row r="13" spans="1:5">
      <c r="A13" s="85"/>
      <c r="B13" s="25" t="s">
        <v>46</v>
      </c>
      <c r="D13" t="s">
        <v>57</v>
      </c>
    </row>
    <row r="14" spans="1:5" s="7" customFormat="1">
      <c r="A14" s="85"/>
      <c r="B14" s="25" t="s">
        <v>46</v>
      </c>
      <c r="C14" t="s">
        <v>58</v>
      </c>
      <c r="D14" s="75" t="s">
        <v>54</v>
      </c>
      <c r="E14" s="74"/>
    </row>
    <row r="15" spans="1:5" s="7" customFormat="1">
      <c r="A15" s="85"/>
      <c r="B15" s="25" t="s">
        <v>59</v>
      </c>
      <c r="C15" t="s">
        <v>60</v>
      </c>
      <c r="D15" s="73" t="s">
        <v>61</v>
      </c>
      <c r="E15" s="74"/>
    </row>
    <row r="16" spans="1:5" s="7" customFormat="1">
      <c r="A16" s="85"/>
      <c r="B16" s="19" t="s">
        <v>55</v>
      </c>
      <c r="C16" t="s">
        <v>53</v>
      </c>
      <c r="D16" s="75" t="s">
        <v>62</v>
      </c>
      <c r="E16" s="74"/>
    </row>
    <row r="17" spans="1:5">
      <c r="A17" s="85"/>
      <c r="B17" s="25" t="s">
        <v>46</v>
      </c>
      <c r="C17"/>
      <c r="D17" t="s">
        <v>63</v>
      </c>
    </row>
    <row r="18" spans="1:5" s="7" customFormat="1">
      <c r="A18" s="85"/>
      <c r="B18" s="25" t="s">
        <v>46</v>
      </c>
      <c r="C18" t="s">
        <v>64</v>
      </c>
      <c r="D18" s="75" t="s">
        <v>54</v>
      </c>
      <c r="E18" s="74"/>
    </row>
    <row r="19" spans="1:5">
      <c r="A19" s="85"/>
      <c r="B19" s="26" t="s">
        <v>65</v>
      </c>
      <c r="C19" t="s">
        <v>64</v>
      </c>
      <c r="D19" s="75" t="s">
        <v>66</v>
      </c>
    </row>
    <row r="20" spans="1:5" s="7" customFormat="1">
      <c r="A20" s="85"/>
      <c r="B20" t="s">
        <v>67</v>
      </c>
      <c r="C20" t="s">
        <v>68</v>
      </c>
      <c r="D20" s="75" t="s">
        <v>69</v>
      </c>
      <c r="E20" s="74"/>
    </row>
    <row r="21" spans="1:5" s="7" customFormat="1">
      <c r="A21" s="85"/>
      <c r="B21" t="s">
        <v>70</v>
      </c>
      <c r="C21" t="s">
        <v>71</v>
      </c>
      <c r="D21" s="75" t="s">
        <v>72</v>
      </c>
      <c r="E21" s="74"/>
    </row>
    <row r="22" spans="1:5" s="7" customFormat="1">
      <c r="A22" s="85"/>
      <c r="B22" s="25" t="s">
        <v>73</v>
      </c>
      <c r="C22" t="s">
        <v>74</v>
      </c>
      <c r="D22" s="75" t="s">
        <v>75</v>
      </c>
      <c r="E22" s="74"/>
    </row>
    <row r="23" spans="1:5" s="7" customFormat="1">
      <c r="A23" s="85"/>
      <c r="B23" s="25"/>
      <c r="C23"/>
      <c r="D23" s="75"/>
      <c r="E23" s="74"/>
    </row>
    <row r="24" spans="1:5" s="7" customFormat="1" ht="20.25" thickBot="1">
      <c r="A24" s="24"/>
      <c r="B24" s="24"/>
      <c r="C24" s="24"/>
      <c r="D24" s="24" t="s">
        <v>76</v>
      </c>
      <c r="E24" s="74"/>
    </row>
    <row r="25" spans="1:5" s="7" customFormat="1" ht="15.75" thickTop="1">
      <c r="A25" s="85"/>
      <c r="B25" s="25" t="s">
        <v>77</v>
      </c>
      <c r="C25"/>
      <c r="D25" t="s">
        <v>78</v>
      </c>
      <c r="E25" s="74"/>
    </row>
    <row r="26" spans="1:5" s="7" customFormat="1">
      <c r="A26" s="85"/>
      <c r="B26" s="25" t="s">
        <v>79</v>
      </c>
      <c r="C26"/>
      <c r="D26" t="s">
        <v>80</v>
      </c>
      <c r="E26" s="74"/>
    </row>
    <row r="27" spans="1:5">
      <c r="A27" s="85"/>
      <c r="B27" s="25" t="s">
        <v>81</v>
      </c>
      <c r="C27"/>
      <c r="D27" t="s">
        <v>82</v>
      </c>
    </row>
    <row r="28" spans="1:5">
      <c r="C28"/>
    </row>
    <row r="29" spans="1:5">
      <c r="C29"/>
    </row>
    <row r="30" spans="1:5">
      <c r="C30"/>
    </row>
    <row r="31" spans="1:5">
      <c r="C31"/>
    </row>
    <row r="32" spans="1:5">
      <c r="C32"/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</sheetData>
  <phoneticPr fontId="41" type="noConversion"/>
  <hyperlinks>
    <hyperlink ref="B12" r:id="rId1" xr:uid="{22EDF913-D9F9-485B-AD5A-31C3C8EC3DF9}"/>
    <hyperlink ref="B19" r:id="rId2" xr:uid="{56406624-13BF-4D1E-93F3-F3C7BEE751D0}"/>
    <hyperlink ref="B16" r:id="rId3" xr:uid="{C523C19D-0C52-4CEF-A262-1166C92EC658}"/>
  </hyperlinks>
  <pageMargins left="0.7" right="0.7" top="0.78740157499999996" bottom="0.85144927536231885" header="0.3" footer="0.3"/>
  <pageSetup paperSize="9" orientation="landscape" verticalDpi="1200" r:id="rId4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11FF-5FDE-42CB-B723-5695FB6C2007}">
  <sheetPr>
    <tabColor theme="7"/>
  </sheetPr>
  <dimension ref="A1:U36"/>
  <sheetViews>
    <sheetView workbookViewId="0">
      <pane ySplit="2" topLeftCell="A3" activePane="bottomLeft" state="frozen"/>
      <selection pane="bottomLeft" activeCell="B5" sqref="B5"/>
    </sheetView>
  </sheetViews>
  <sheetFormatPr defaultColWidth="11.42578125" defaultRowHeight="15"/>
  <cols>
    <col min="1" max="1" width="32.42578125" customWidth="1"/>
    <col min="2" max="2" width="8" bestFit="1" customWidth="1"/>
    <col min="3" max="3" width="10.7109375" bestFit="1" customWidth="1"/>
    <col min="4" max="4" width="8.28515625" bestFit="1" customWidth="1"/>
    <col min="5" max="5" width="9.85546875" bestFit="1" customWidth="1"/>
    <col min="6" max="6" width="88.5703125" bestFit="1" customWidth="1"/>
  </cols>
  <sheetData>
    <row r="1" spans="1:10" ht="45" customHeight="1">
      <c r="A1" s="26"/>
      <c r="C1" s="20"/>
      <c r="D1" s="20"/>
      <c r="E1" s="20"/>
      <c r="F1" s="20"/>
      <c r="G1" s="6"/>
      <c r="H1" s="4"/>
      <c r="I1" s="20"/>
      <c r="J1" s="3"/>
    </row>
    <row r="2" spans="1:10" ht="20.25" thickBot="1">
      <c r="A2" s="24" t="s">
        <v>46</v>
      </c>
      <c r="B2" s="144" t="s">
        <v>3</v>
      </c>
      <c r="C2" s="144" t="s">
        <v>83</v>
      </c>
      <c r="D2" s="144"/>
      <c r="E2" s="144"/>
      <c r="F2" s="144" t="s">
        <v>84</v>
      </c>
    </row>
    <row r="3" spans="1:10" ht="15.75" thickTop="1"/>
    <row r="4" spans="1:10" ht="18" thickBot="1">
      <c r="A4" s="42" t="s">
        <v>85</v>
      </c>
      <c r="B4" s="42"/>
      <c r="C4" s="42"/>
      <c r="D4" s="42"/>
      <c r="E4" s="42"/>
      <c r="F4" s="42"/>
    </row>
    <row r="5" spans="1:10" ht="15.75" thickTop="1">
      <c r="A5" t="s">
        <v>86</v>
      </c>
      <c r="B5" s="35" t="s">
        <v>87</v>
      </c>
      <c r="C5" s="5" t="s">
        <v>87</v>
      </c>
      <c r="D5" s="5" t="s">
        <v>88</v>
      </c>
      <c r="E5" s="5"/>
      <c r="F5" s="51" t="s">
        <v>89</v>
      </c>
    </row>
    <row r="6" spans="1:10">
      <c r="A6" t="s">
        <v>90</v>
      </c>
      <c r="B6" s="35" t="s">
        <v>88</v>
      </c>
      <c r="C6" s="5" t="s">
        <v>87</v>
      </c>
      <c r="D6" s="5" t="s">
        <v>88</v>
      </c>
      <c r="E6" s="5"/>
      <c r="F6" s="51" t="s">
        <v>89</v>
      </c>
    </row>
    <row r="7" spans="1:10">
      <c r="A7" t="s">
        <v>91</v>
      </c>
      <c r="B7" s="35" t="s">
        <v>92</v>
      </c>
      <c r="C7" s="5" t="s">
        <v>93</v>
      </c>
      <c r="D7" s="5" t="s">
        <v>92</v>
      </c>
      <c r="E7" s="5"/>
      <c r="F7" s="51" t="s">
        <v>94</v>
      </c>
    </row>
    <row r="8" spans="1:10">
      <c r="A8" t="s">
        <v>95</v>
      </c>
      <c r="B8" s="35" t="s">
        <v>92</v>
      </c>
      <c r="C8" s="5" t="s">
        <v>93</v>
      </c>
      <c r="D8" s="5" t="s">
        <v>92</v>
      </c>
      <c r="E8" s="5"/>
      <c r="F8" s="51" t="s">
        <v>96</v>
      </c>
    </row>
    <row r="9" spans="1:10">
      <c r="A9" s="177" t="s">
        <v>97</v>
      </c>
      <c r="B9" s="5"/>
      <c r="C9" s="5"/>
      <c r="D9" s="5"/>
      <c r="E9" s="5"/>
      <c r="F9" s="51"/>
    </row>
    <row r="10" spans="1:10" ht="17.25">
      <c r="A10" t="s">
        <v>98</v>
      </c>
      <c r="B10" s="34">
        <v>1000</v>
      </c>
      <c r="C10" s="5" t="s">
        <v>99</v>
      </c>
      <c r="E10" s="5"/>
      <c r="F10" s="31" t="s">
        <v>100</v>
      </c>
    </row>
    <row r="11" spans="1:10" ht="17.25">
      <c r="A11" t="s">
        <v>101</v>
      </c>
      <c r="B11" s="34">
        <v>1000</v>
      </c>
      <c r="C11" s="5" t="s">
        <v>99</v>
      </c>
      <c r="E11" s="5"/>
      <c r="F11" s="31" t="s">
        <v>100</v>
      </c>
    </row>
    <row r="12" spans="1:10" ht="17.25">
      <c r="A12" t="s">
        <v>102</v>
      </c>
      <c r="B12" s="34">
        <v>1000</v>
      </c>
      <c r="C12" s="5" t="s">
        <v>99</v>
      </c>
      <c r="E12" s="5"/>
      <c r="F12" s="31" t="s">
        <v>100</v>
      </c>
    </row>
    <row r="13" spans="1:10">
      <c r="A13" s="177" t="s">
        <v>103</v>
      </c>
      <c r="B13" s="5"/>
      <c r="C13" s="5"/>
      <c r="D13" s="5"/>
      <c r="E13" s="5"/>
      <c r="F13" s="31"/>
    </row>
    <row r="15" spans="1:10" ht="18" thickBot="1">
      <c r="A15" s="42" t="s">
        <v>104</v>
      </c>
      <c r="B15" s="42"/>
      <c r="C15" s="42"/>
      <c r="D15" s="42"/>
      <c r="E15" s="42"/>
      <c r="F15" s="42"/>
    </row>
    <row r="16" spans="1:10" ht="15.75" thickTop="1">
      <c r="A16" t="s">
        <v>105</v>
      </c>
      <c r="B16" s="34"/>
      <c r="C16" t="s">
        <v>106</v>
      </c>
      <c r="F16" s="31" t="s">
        <v>107</v>
      </c>
    </row>
    <row r="17" spans="1:21">
      <c r="A17" t="s">
        <v>108</v>
      </c>
      <c r="B17" s="45"/>
      <c r="C17" t="s">
        <v>109</v>
      </c>
      <c r="F17" s="31" t="s">
        <v>110</v>
      </c>
    </row>
    <row r="18" spans="1:21">
      <c r="A18" t="s">
        <v>111</v>
      </c>
      <c r="B18" s="171"/>
      <c r="C18" s="44" t="s">
        <v>112</v>
      </c>
      <c r="D18" s="44"/>
      <c r="E18" s="44"/>
      <c r="F18" s="31" t="s">
        <v>113</v>
      </c>
    </row>
    <row r="19" spans="1:21">
      <c r="A19" t="s">
        <v>114</v>
      </c>
      <c r="B19" s="171"/>
      <c r="C19" s="44" t="s">
        <v>112</v>
      </c>
      <c r="D19" s="44"/>
      <c r="E19" s="44"/>
      <c r="F19" s="31" t="s">
        <v>113</v>
      </c>
    </row>
    <row r="20" spans="1:21">
      <c r="A20" t="s">
        <v>115</v>
      </c>
      <c r="B20" s="171"/>
      <c r="C20" s="44" t="s">
        <v>112</v>
      </c>
      <c r="D20" s="44"/>
      <c r="E20" s="44"/>
      <c r="F20" s="31" t="s">
        <v>113</v>
      </c>
    </row>
    <row r="21" spans="1:21">
      <c r="A21" t="s">
        <v>116</v>
      </c>
      <c r="B21" s="171"/>
      <c r="C21" s="44" t="s">
        <v>112</v>
      </c>
      <c r="D21" s="44"/>
      <c r="E21" s="44"/>
      <c r="F21" s="31" t="s">
        <v>113</v>
      </c>
    </row>
    <row r="22" spans="1:21">
      <c r="A22" s="177" t="s">
        <v>117</v>
      </c>
      <c r="B22" s="44"/>
      <c r="C22" s="44"/>
      <c r="D22" s="44"/>
      <c r="E22" s="44"/>
      <c r="F22" s="31"/>
    </row>
    <row r="24" spans="1:21" ht="18" thickBot="1">
      <c r="A24" s="42" t="s">
        <v>118</v>
      </c>
      <c r="B24" s="42"/>
      <c r="C24" s="42"/>
      <c r="D24" s="42"/>
      <c r="E24" s="42"/>
      <c r="F24" s="42"/>
    </row>
    <row r="25" spans="1:21" s="9" customFormat="1" ht="15.75" thickTop="1">
      <c r="A25" t="s">
        <v>119</v>
      </c>
      <c r="B25" s="35"/>
      <c r="C25" s="5" t="s">
        <v>93</v>
      </c>
      <c r="D25" s="5" t="s">
        <v>92</v>
      </c>
      <c r="E25" s="5"/>
      <c r="F25" s="51" t="s">
        <v>120</v>
      </c>
      <c r="U25"/>
    </row>
    <row r="26" spans="1:21" s="9" customFormat="1">
      <c r="A26" s="177" t="s">
        <v>121</v>
      </c>
      <c r="B26" s="5"/>
      <c r="C26" s="5"/>
      <c r="D26" s="5"/>
      <c r="E26" s="5"/>
      <c r="F26" s="51"/>
      <c r="U26"/>
    </row>
    <row r="27" spans="1:21">
      <c r="F27" s="177"/>
    </row>
    <row r="28" spans="1:21" ht="18" thickBot="1">
      <c r="A28" s="42" t="s">
        <v>122</v>
      </c>
      <c r="B28" s="42"/>
      <c r="C28" s="42"/>
      <c r="D28" s="42"/>
      <c r="E28" s="42"/>
      <c r="F28" s="42"/>
    </row>
    <row r="29" spans="1:21" ht="18" thickTop="1">
      <c r="A29" t="s">
        <v>123</v>
      </c>
      <c r="B29" s="35"/>
      <c r="C29" s="5" t="s">
        <v>124</v>
      </c>
      <c r="D29" s="5"/>
      <c r="E29" s="5"/>
      <c r="F29" s="51" t="s">
        <v>125</v>
      </c>
    </row>
    <row r="30" spans="1:21" ht="17.25">
      <c r="A30" t="s">
        <v>29</v>
      </c>
      <c r="B30" s="35"/>
      <c r="C30" s="5" t="s">
        <v>124</v>
      </c>
      <c r="D30" s="5"/>
      <c r="E30" s="5"/>
      <c r="F30" s="51" t="s">
        <v>126</v>
      </c>
    </row>
    <row r="31" spans="1:21">
      <c r="A31" t="s">
        <v>127</v>
      </c>
      <c r="B31" s="35"/>
      <c r="C31" s="5" t="s">
        <v>128</v>
      </c>
      <c r="D31" s="5"/>
      <c r="E31" s="5"/>
      <c r="F31" s="51" t="s">
        <v>129</v>
      </c>
    </row>
    <row r="32" spans="1:21" ht="17.25">
      <c r="A32" t="s">
        <v>130</v>
      </c>
      <c r="B32" s="35"/>
      <c r="C32" s="5" t="s">
        <v>131</v>
      </c>
      <c r="D32" s="5"/>
      <c r="E32" s="5"/>
      <c r="F32" s="51" t="s">
        <v>132</v>
      </c>
    </row>
    <row r="33" spans="1:6" ht="17.25">
      <c r="A33" t="s">
        <v>133</v>
      </c>
      <c r="B33" s="35"/>
      <c r="C33" s="5" t="s">
        <v>131</v>
      </c>
      <c r="D33" s="5"/>
      <c r="E33" s="5"/>
      <c r="F33" s="51" t="s">
        <v>132</v>
      </c>
    </row>
    <row r="34" spans="1:6" ht="17.25">
      <c r="A34" t="s">
        <v>134</v>
      </c>
      <c r="B34" s="172"/>
      <c r="C34" s="5" t="s">
        <v>135</v>
      </c>
      <c r="D34" s="5"/>
      <c r="E34" s="5"/>
      <c r="F34" s="51" t="s">
        <v>136</v>
      </c>
    </row>
    <row r="35" spans="1:6" ht="17.25">
      <c r="A35" t="s">
        <v>137</v>
      </c>
      <c r="B35" s="172"/>
      <c r="C35" s="5" t="s">
        <v>135</v>
      </c>
      <c r="D35" s="5"/>
      <c r="E35" s="5"/>
      <c r="F35" s="51" t="s">
        <v>138</v>
      </c>
    </row>
    <row r="36" spans="1:6" ht="17.25">
      <c r="A36" t="s">
        <v>139</v>
      </c>
      <c r="B36" s="172"/>
      <c r="C36" s="5" t="s">
        <v>135</v>
      </c>
      <c r="D36" s="5"/>
      <c r="E36" s="5"/>
      <c r="F36" s="51" t="s">
        <v>140</v>
      </c>
    </row>
  </sheetData>
  <dataValidations count="6">
    <dataValidation type="whole" operator="greaterThanOrEqual" allowBlank="1" showInputMessage="1" showErrorMessage="1" promptTitle="Ganze Zahl" prompt="Nutzvolumen in Betriebskubikmeter eingeben" sqref="B10:B12" xr:uid="{6ED7456B-59B0-48BD-9CEB-CD9A09392016}">
      <formula1>0</formula1>
    </dataValidation>
    <dataValidation type="list" allowBlank="1" showInputMessage="1" showErrorMessage="1" promptTitle="Auswahl" prompt="ja: Kondensat fliesst nicht zurück in die Faulung bzw. den Faulschlamm_x000a_nein: Kondensat fliesst zurük in die Faulung bzw. den Faulschlamm_x000a_" sqref="B25 B7:B8" xr:uid="{DE257F2D-0E76-4100-88B7-D1C811EA7DAE}">
      <formula1>C7:D7</formula1>
    </dataValidation>
    <dataValidation type="decimal" operator="greaterThanOrEqual" allowBlank="1" showInputMessage="1" showErrorMessage="1" sqref="B32:B36 B16 B29:B30 B18:B21" xr:uid="{6E9F2316-96B8-4943-8CC4-EA105A167D8A}">
      <formula1>0</formula1>
    </dataValidation>
    <dataValidation type="decimal" allowBlank="1" showInputMessage="1" showErrorMessage="1" sqref="B17:B21" xr:uid="{B47F006B-1D4E-4654-BE58-A103750DB5C8}">
      <formula1>1</formula1>
      <formula2>12</formula2>
    </dataValidation>
    <dataValidation type="decimal" allowBlank="1" showInputMessage="1" showErrorMessage="1" sqref="B31" xr:uid="{4433944C-E639-440F-A514-43A999EF34AE}">
      <formula1>0</formula1>
      <formula2>100</formula2>
    </dataValidation>
    <dataValidation type="list" allowBlank="1" showInputMessage="1" showErrorMessage="1" promptTitle="Auswahl" prompt="seriell: Die Faultürme sind seriell geschaltet._x000a_parallel: Die Faultürme sind parallel geschaltet._x000a_&quot;leer&quot;: Das Kriterium ist nicht anwendbar" sqref="B5:B6" xr:uid="{AAA3E7A2-18B1-4072-9264-2D0F9CDC434E}">
      <formula1>C5:E5</formula1>
    </dataValidation>
  </dataValidations>
  <hyperlinks>
    <hyperlink ref="F10" location="Grundlagen!A1" display="Grundlagen" xr:uid="{157B839A-98E3-4C74-A4D3-0F8BE1810DDA}"/>
    <hyperlink ref="F11" location="Grundlagen!A1" display="Grundlagen" xr:uid="{7226E21C-D891-4AF3-8A67-93272E912165}"/>
    <hyperlink ref="F12" location="Grundlagen!A1" display="Grundlagen" xr:uid="{85FDDC81-D650-4652-A750-B31845ACB05B}"/>
  </hyperlink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357E-CBBD-493E-A211-336DB78B496C}">
  <sheetPr>
    <tabColor theme="7"/>
  </sheetPr>
  <dimension ref="A1:J121"/>
  <sheetViews>
    <sheetView zoomScale="85" zoomScaleNormal="85" zoomScalePageLayoutView="85" workbookViewId="0">
      <pane xSplit="1" ySplit="5" topLeftCell="B6" activePane="bottomRight" state="frozen"/>
      <selection pane="bottomRight" activeCell="C4" sqref="C4"/>
      <selection pane="bottomLeft" activeCell="A3" sqref="A3"/>
      <selection pane="topRight" activeCell="B1" sqref="B1"/>
    </sheetView>
  </sheetViews>
  <sheetFormatPr defaultColWidth="11.42578125" defaultRowHeight="15"/>
  <cols>
    <col min="1" max="1" width="43.42578125" customWidth="1"/>
    <col min="2" max="2" width="13.42578125" bestFit="1" customWidth="1"/>
    <col min="3" max="3" width="20.5703125" customWidth="1"/>
    <col min="4" max="5" width="20.5703125" style="20" customWidth="1"/>
    <col min="6" max="6" width="20.5703125" customWidth="1"/>
    <col min="7" max="7" width="20.5703125" style="6" customWidth="1"/>
    <col min="8" max="8" width="20.5703125" style="4" customWidth="1"/>
    <col min="9" max="9" width="20.5703125" style="20" customWidth="1"/>
    <col min="10" max="10" width="20.5703125" style="3" customWidth="1"/>
  </cols>
  <sheetData>
    <row r="1" spans="1:10" ht="45" customHeight="1">
      <c r="A1" s="26"/>
      <c r="B1" s="26"/>
      <c r="F1" s="6"/>
      <c r="G1" s="4"/>
      <c r="H1" s="20"/>
      <c r="I1" s="3"/>
      <c r="J1"/>
    </row>
    <row r="2" spans="1:10" ht="20.25" thickBot="1">
      <c r="A2" s="24" t="s">
        <v>46</v>
      </c>
      <c r="B2" s="24"/>
      <c r="C2" s="24"/>
      <c r="D2" s="24"/>
      <c r="E2" s="24"/>
      <c r="F2" s="24"/>
      <c r="G2" s="24"/>
      <c r="H2" s="24"/>
      <c r="I2" s="24"/>
      <c r="J2"/>
    </row>
    <row r="3" spans="1:10" ht="16.5" thickTop="1" thickBot="1">
      <c r="D3"/>
      <c r="E3"/>
      <c r="G3"/>
      <c r="H3"/>
      <c r="I3"/>
      <c r="J3"/>
    </row>
    <row r="4" spans="1:10" s="5" customFormat="1" ht="19.5" thickTop="1">
      <c r="A4" s="134" t="s">
        <v>46</v>
      </c>
      <c r="B4" s="123" t="s">
        <v>141</v>
      </c>
      <c r="C4" s="123" t="s">
        <v>142</v>
      </c>
      <c r="D4" s="123" t="s">
        <v>143</v>
      </c>
      <c r="E4" s="123" t="s">
        <v>144</v>
      </c>
      <c r="F4" s="123" t="s">
        <v>145</v>
      </c>
      <c r="G4" s="123" t="s">
        <v>70</v>
      </c>
      <c r="H4" s="123" t="s">
        <v>146</v>
      </c>
      <c r="I4" s="124" t="s">
        <v>147</v>
      </c>
    </row>
    <row r="5" spans="1:10" s="100" customFormat="1" ht="17.25">
      <c r="A5" s="125" t="s">
        <v>148</v>
      </c>
      <c r="B5" s="126" t="s">
        <v>149</v>
      </c>
      <c r="C5" s="126" t="s">
        <v>150</v>
      </c>
      <c r="D5" s="126" t="s">
        <v>151</v>
      </c>
      <c r="E5" s="126" t="s">
        <v>152</v>
      </c>
      <c r="F5" s="126" t="s">
        <v>153</v>
      </c>
      <c r="G5" s="126" t="s">
        <v>109</v>
      </c>
      <c r="H5" s="126" t="s">
        <v>154</v>
      </c>
      <c r="I5" s="127" t="s">
        <v>153</v>
      </c>
    </row>
    <row r="6" spans="1:10" ht="15.75" thickBot="1">
      <c r="A6" s="128" t="s">
        <v>155</v>
      </c>
      <c r="B6" s="128" t="s">
        <v>34</v>
      </c>
      <c r="C6" s="129">
        <v>365</v>
      </c>
      <c r="D6" s="158">
        <f>VLOOKUP(Ausgangssubstrate!$A6,'Datenbank Substrate'!$13:$103,3,FALSE)/100</f>
        <v>0.15920000000000001</v>
      </c>
      <c r="E6" s="159">
        <f>VLOOKUP(Ausgangssubstrate!$A6,'Datenbank Substrate'!$13:$103,5,FALSE)</f>
        <v>0.55590452261306533</v>
      </c>
      <c r="F6" s="160">
        <f>VLOOKUP(Ausgangssubstrate!$A6,'Datenbank Substrate'!$13:$103,12,FALSE)</f>
        <v>188.57</v>
      </c>
      <c r="G6" s="161">
        <f>VLOOKUP(Ausgangssubstrate!$A6,'Datenbank Substrate'!$13:$103,21,FALSE)</f>
        <v>0.6</v>
      </c>
      <c r="H6" s="130">
        <f t="shared" ref="H6:H27" si="0">E6*D6</f>
        <v>8.8500000000000009E-2</v>
      </c>
      <c r="I6" s="131">
        <f>Ausgangssubstrate!$F6/Ausgangssubstrate!$G6</f>
        <v>314.28333333333336</v>
      </c>
      <c r="J6"/>
    </row>
    <row r="7" spans="1:10" ht="16.5" thickTop="1" thickBot="1">
      <c r="A7" s="128" t="s">
        <v>155</v>
      </c>
      <c r="B7" s="128" t="s">
        <v>34</v>
      </c>
      <c r="C7" s="129">
        <v>365</v>
      </c>
      <c r="D7" s="162">
        <f>VLOOKUP(Ausgangssubstrate!$A7,'Datenbank Substrate'!$13:$103,3,FALSE)/100</f>
        <v>0.15920000000000001</v>
      </c>
      <c r="E7" s="163">
        <f>VLOOKUP(Ausgangssubstrate!$A7,'Datenbank Substrate'!$13:$103,5,FALSE)</f>
        <v>0.55590452261306533</v>
      </c>
      <c r="F7" s="164">
        <f>VLOOKUP(Ausgangssubstrate!$A7,'Datenbank Substrate'!$13:$103,12,FALSE)</f>
        <v>188.57</v>
      </c>
      <c r="G7" s="165">
        <f>VLOOKUP(Ausgangssubstrate!$A7,'Datenbank Substrate'!$13:$103,21,FALSE)</f>
        <v>0.6</v>
      </c>
      <c r="H7" s="130">
        <f t="shared" si="0"/>
        <v>8.8500000000000009E-2</v>
      </c>
      <c r="I7" s="131">
        <f>Ausgangssubstrate!$F7/Ausgangssubstrate!$G7</f>
        <v>314.28333333333336</v>
      </c>
      <c r="J7"/>
    </row>
    <row r="8" spans="1:10" ht="16.5" thickTop="1" thickBot="1">
      <c r="A8" s="128" t="s">
        <v>155</v>
      </c>
      <c r="B8" s="128" t="s">
        <v>34</v>
      </c>
      <c r="C8" s="129">
        <v>365</v>
      </c>
      <c r="D8" s="162">
        <f>VLOOKUP(Ausgangssubstrate!$A8,'Datenbank Substrate'!$13:$103,3,FALSE)/100</f>
        <v>0.15920000000000001</v>
      </c>
      <c r="E8" s="163">
        <f>VLOOKUP(Ausgangssubstrate!$A8,'Datenbank Substrate'!$13:$103,5,FALSE)</f>
        <v>0.55590452261306533</v>
      </c>
      <c r="F8" s="164">
        <f>VLOOKUP(Ausgangssubstrate!$A8,'Datenbank Substrate'!$13:$103,12,FALSE)</f>
        <v>188.57</v>
      </c>
      <c r="G8" s="165">
        <f>VLOOKUP(Ausgangssubstrate!$A8,'Datenbank Substrate'!$13:$103,21,FALSE)</f>
        <v>0.6</v>
      </c>
      <c r="H8" s="130">
        <f t="shared" si="0"/>
        <v>8.8500000000000009E-2</v>
      </c>
      <c r="I8" s="131">
        <f>Ausgangssubstrate!$F8/Ausgangssubstrate!$G8</f>
        <v>314.28333333333336</v>
      </c>
      <c r="J8"/>
    </row>
    <row r="9" spans="1:10" ht="16.5" thickTop="1" thickBot="1">
      <c r="A9" s="128" t="s">
        <v>155</v>
      </c>
      <c r="B9" s="128" t="s">
        <v>34</v>
      </c>
      <c r="C9" s="129">
        <v>365</v>
      </c>
      <c r="D9" s="162">
        <f>VLOOKUP(Ausgangssubstrate!$A9,'Datenbank Substrate'!$13:$103,3,FALSE)/100</f>
        <v>0.15920000000000001</v>
      </c>
      <c r="E9" s="163">
        <f>VLOOKUP(Ausgangssubstrate!$A9,'Datenbank Substrate'!$13:$103,5,FALSE)</f>
        <v>0.55590452261306533</v>
      </c>
      <c r="F9" s="164">
        <f>VLOOKUP(Ausgangssubstrate!$A9,'Datenbank Substrate'!$13:$103,12,FALSE)</f>
        <v>188.57</v>
      </c>
      <c r="G9" s="165">
        <f>VLOOKUP(Ausgangssubstrate!$A9,'Datenbank Substrate'!$13:$103,21,FALSE)</f>
        <v>0.6</v>
      </c>
      <c r="H9" s="130">
        <f t="shared" si="0"/>
        <v>8.8500000000000009E-2</v>
      </c>
      <c r="I9" s="131">
        <f>Ausgangssubstrate!$F9/Ausgangssubstrate!$G9</f>
        <v>314.28333333333336</v>
      </c>
      <c r="J9"/>
    </row>
    <row r="10" spans="1:10" ht="16.5" thickTop="1" thickBot="1">
      <c r="A10" s="128" t="s">
        <v>155</v>
      </c>
      <c r="B10" s="128" t="s">
        <v>34</v>
      </c>
      <c r="C10" s="129">
        <v>365</v>
      </c>
      <c r="D10" s="162">
        <f>VLOOKUP(Ausgangssubstrate!$A10,'Datenbank Substrate'!$13:$103,3,FALSE)/100</f>
        <v>0.15920000000000001</v>
      </c>
      <c r="E10" s="163">
        <f>VLOOKUP(Ausgangssubstrate!$A10,'Datenbank Substrate'!$13:$103,5,FALSE)</f>
        <v>0.55590452261306533</v>
      </c>
      <c r="F10" s="164">
        <f>VLOOKUP(Ausgangssubstrate!$A10,'Datenbank Substrate'!$13:$103,12,FALSE)</f>
        <v>188.57</v>
      </c>
      <c r="G10" s="165">
        <f>VLOOKUP(Ausgangssubstrate!$A10,'Datenbank Substrate'!$13:$103,21,FALSE)</f>
        <v>0.6</v>
      </c>
      <c r="H10" s="130">
        <f t="shared" si="0"/>
        <v>8.8500000000000009E-2</v>
      </c>
      <c r="I10" s="131">
        <f>Ausgangssubstrate!$F10/Ausgangssubstrate!$G10</f>
        <v>314.28333333333336</v>
      </c>
      <c r="J10"/>
    </row>
    <row r="11" spans="1:10" ht="16.5" thickTop="1" thickBot="1">
      <c r="A11" s="128" t="s">
        <v>155</v>
      </c>
      <c r="B11" s="128" t="s">
        <v>34</v>
      </c>
      <c r="C11" s="129">
        <v>365</v>
      </c>
      <c r="D11" s="162">
        <f>VLOOKUP(Ausgangssubstrate!$A11,'Datenbank Substrate'!$13:$103,3,FALSE)/100</f>
        <v>0.15920000000000001</v>
      </c>
      <c r="E11" s="163">
        <f>VLOOKUP(Ausgangssubstrate!$A11,'Datenbank Substrate'!$13:$103,5,FALSE)</f>
        <v>0.55590452261306533</v>
      </c>
      <c r="F11" s="164">
        <f>VLOOKUP(Ausgangssubstrate!$A11,'Datenbank Substrate'!$13:$103,12,FALSE)</f>
        <v>188.57</v>
      </c>
      <c r="G11" s="165">
        <f>VLOOKUP(Ausgangssubstrate!$A11,'Datenbank Substrate'!$13:$103,21,FALSE)</f>
        <v>0.6</v>
      </c>
      <c r="H11" s="130">
        <f t="shared" si="0"/>
        <v>8.8500000000000009E-2</v>
      </c>
      <c r="I11" s="131">
        <f>Ausgangssubstrate!$F11/Ausgangssubstrate!$G11</f>
        <v>314.28333333333336</v>
      </c>
      <c r="J11"/>
    </row>
    <row r="12" spans="1:10" ht="16.5" thickTop="1" thickBot="1">
      <c r="A12" s="128" t="s">
        <v>155</v>
      </c>
      <c r="B12" s="128" t="s">
        <v>34</v>
      </c>
      <c r="C12" s="129">
        <v>365</v>
      </c>
      <c r="D12" s="162">
        <f>VLOOKUP(Ausgangssubstrate!$A12,'Datenbank Substrate'!$13:$103,3,FALSE)/100</f>
        <v>0.15920000000000001</v>
      </c>
      <c r="E12" s="163">
        <f>VLOOKUP(Ausgangssubstrate!$A12,'Datenbank Substrate'!$13:$103,5,FALSE)</f>
        <v>0.55590452261306533</v>
      </c>
      <c r="F12" s="164">
        <v>350</v>
      </c>
      <c r="G12" s="165">
        <f>VLOOKUP(Ausgangssubstrate!$A12,'Datenbank Substrate'!$13:$103,21,FALSE)</f>
        <v>0.6</v>
      </c>
      <c r="H12" s="130">
        <f t="shared" si="0"/>
        <v>8.8500000000000009E-2</v>
      </c>
      <c r="I12" s="131">
        <f>Ausgangssubstrate!$F12/Ausgangssubstrate!$G12</f>
        <v>583.33333333333337</v>
      </c>
      <c r="J12"/>
    </row>
    <row r="13" spans="1:10" ht="16.5" thickTop="1" thickBot="1">
      <c r="A13" s="128" t="s">
        <v>155</v>
      </c>
      <c r="B13" s="128" t="s">
        <v>34</v>
      </c>
      <c r="C13" s="129">
        <v>365</v>
      </c>
      <c r="D13" s="162">
        <f>VLOOKUP(Ausgangssubstrate!$A13,'Datenbank Substrate'!$13:$103,3,FALSE)/100</f>
        <v>0.15920000000000001</v>
      </c>
      <c r="E13" s="163">
        <f>VLOOKUP(Ausgangssubstrate!$A13,'Datenbank Substrate'!$13:$103,5,FALSE)</f>
        <v>0.55590452261306533</v>
      </c>
      <c r="F13" s="164">
        <f>VLOOKUP(Ausgangssubstrate!$A13,'Datenbank Substrate'!$13:$103,12,FALSE)</f>
        <v>188.57</v>
      </c>
      <c r="G13" s="165">
        <f>VLOOKUP(Ausgangssubstrate!$A13,'Datenbank Substrate'!$13:$103,21,FALSE)</f>
        <v>0.6</v>
      </c>
      <c r="H13" s="130">
        <f t="shared" si="0"/>
        <v>8.8500000000000009E-2</v>
      </c>
      <c r="I13" s="131">
        <f>Ausgangssubstrate!$F13/Ausgangssubstrate!$G13</f>
        <v>314.28333333333336</v>
      </c>
      <c r="J13"/>
    </row>
    <row r="14" spans="1:10" ht="16.5" thickTop="1" thickBot="1">
      <c r="A14" s="128" t="s">
        <v>155</v>
      </c>
      <c r="B14" s="128" t="s">
        <v>34</v>
      </c>
      <c r="C14" s="129">
        <v>365</v>
      </c>
      <c r="D14" s="162">
        <f>VLOOKUP(Ausgangssubstrate!$A14,'Datenbank Substrate'!$13:$103,3,FALSE)/100</f>
        <v>0.15920000000000001</v>
      </c>
      <c r="E14" s="163">
        <f>VLOOKUP(Ausgangssubstrate!$A14,'Datenbank Substrate'!$13:$103,5,FALSE)</f>
        <v>0.55590452261306533</v>
      </c>
      <c r="F14" s="164">
        <f>VLOOKUP(Ausgangssubstrate!$A14,'Datenbank Substrate'!$13:$103,12,FALSE)</f>
        <v>188.57</v>
      </c>
      <c r="G14" s="165">
        <f>VLOOKUP(Ausgangssubstrate!$A14,'Datenbank Substrate'!$13:$103,21,FALSE)</f>
        <v>0.6</v>
      </c>
      <c r="H14" s="130">
        <f t="shared" si="0"/>
        <v>8.8500000000000009E-2</v>
      </c>
      <c r="I14" s="131">
        <f>Ausgangssubstrate!$F14/Ausgangssubstrate!$G14</f>
        <v>314.28333333333336</v>
      </c>
      <c r="J14"/>
    </row>
    <row r="15" spans="1:10" ht="16.5" thickTop="1" thickBot="1">
      <c r="A15" s="128" t="s">
        <v>155</v>
      </c>
      <c r="B15" s="128" t="s">
        <v>34</v>
      </c>
      <c r="C15" s="129">
        <v>365</v>
      </c>
      <c r="D15" s="162">
        <f>VLOOKUP(Ausgangssubstrate!$A15,'Datenbank Substrate'!$13:$103,3,FALSE)/100</f>
        <v>0.15920000000000001</v>
      </c>
      <c r="E15" s="163">
        <f>VLOOKUP(Ausgangssubstrate!$A15,'Datenbank Substrate'!$13:$103,5,FALSE)</f>
        <v>0.55590452261306533</v>
      </c>
      <c r="F15" s="164">
        <f>VLOOKUP(Ausgangssubstrate!$A15,'Datenbank Substrate'!$13:$103,12,FALSE)</f>
        <v>188.57</v>
      </c>
      <c r="G15" s="165">
        <f>VLOOKUP(Ausgangssubstrate!$A15,'Datenbank Substrate'!$13:$103,21,FALSE)</f>
        <v>0.6</v>
      </c>
      <c r="H15" s="130">
        <f t="shared" si="0"/>
        <v>8.8500000000000009E-2</v>
      </c>
      <c r="I15" s="131">
        <f>Ausgangssubstrate!$F15/Ausgangssubstrate!$G15</f>
        <v>314.28333333333336</v>
      </c>
      <c r="J15"/>
    </row>
    <row r="16" spans="1:10" ht="16.5" thickTop="1" thickBot="1">
      <c r="A16" s="128" t="s">
        <v>155</v>
      </c>
      <c r="B16" s="128" t="s">
        <v>37</v>
      </c>
      <c r="C16" s="129">
        <v>365</v>
      </c>
      <c r="D16" s="162">
        <f>VLOOKUP(Ausgangssubstrate!$A16,'Datenbank Substrate'!$13:$103,3,FALSE)/100</f>
        <v>0.15920000000000001</v>
      </c>
      <c r="E16" s="163">
        <f>VLOOKUP(Ausgangssubstrate!$A16,'Datenbank Substrate'!$13:$103,5,FALSE)</f>
        <v>0.55590452261306533</v>
      </c>
      <c r="F16" s="164">
        <f>VLOOKUP(Ausgangssubstrate!$A16,'Datenbank Substrate'!$13:$103,12,FALSE)</f>
        <v>188.57</v>
      </c>
      <c r="G16" s="165">
        <f>VLOOKUP(Ausgangssubstrate!$A16,'Datenbank Substrate'!$13:$103,21,FALSE)</f>
        <v>0.6</v>
      </c>
      <c r="H16" s="130">
        <f t="shared" si="0"/>
        <v>8.8500000000000009E-2</v>
      </c>
      <c r="I16" s="131">
        <f>Ausgangssubstrate!$F16/Ausgangssubstrate!$G16</f>
        <v>314.28333333333336</v>
      </c>
      <c r="J16"/>
    </row>
    <row r="17" spans="1:10" ht="16.5" thickTop="1" thickBot="1">
      <c r="A17" s="128" t="s">
        <v>155</v>
      </c>
      <c r="B17" s="128" t="s">
        <v>37</v>
      </c>
      <c r="C17" s="129">
        <v>365</v>
      </c>
      <c r="D17" s="162">
        <f>VLOOKUP(Ausgangssubstrate!$A17,'Datenbank Substrate'!$13:$103,3,FALSE)/100</f>
        <v>0.15920000000000001</v>
      </c>
      <c r="E17" s="163">
        <f>VLOOKUP(Ausgangssubstrate!$A17,'Datenbank Substrate'!$13:$103,5,FALSE)</f>
        <v>0.55590452261306533</v>
      </c>
      <c r="F17" s="164">
        <f>VLOOKUP(Ausgangssubstrate!$A17,'Datenbank Substrate'!$13:$103,12,FALSE)</f>
        <v>188.57</v>
      </c>
      <c r="G17" s="165">
        <f>VLOOKUP(Ausgangssubstrate!$A17,'Datenbank Substrate'!$13:$103,21,FALSE)</f>
        <v>0.6</v>
      </c>
      <c r="H17" s="130">
        <f t="shared" si="0"/>
        <v>8.8500000000000009E-2</v>
      </c>
      <c r="I17" s="131">
        <f>Ausgangssubstrate!$F17/Ausgangssubstrate!$G17</f>
        <v>314.28333333333336</v>
      </c>
      <c r="J17"/>
    </row>
    <row r="18" spans="1:10" ht="16.5" thickTop="1" thickBot="1">
      <c r="A18" s="128" t="s">
        <v>155</v>
      </c>
      <c r="B18" s="128" t="s">
        <v>37</v>
      </c>
      <c r="C18" s="129">
        <v>365</v>
      </c>
      <c r="D18" s="162">
        <f>VLOOKUP(Ausgangssubstrate!$A18,'Datenbank Substrate'!$13:$103,3,FALSE)/100</f>
        <v>0.15920000000000001</v>
      </c>
      <c r="E18" s="163">
        <f>VLOOKUP(Ausgangssubstrate!$A18,'Datenbank Substrate'!$13:$103,5,FALSE)</f>
        <v>0.55590452261306533</v>
      </c>
      <c r="F18" s="164">
        <f>VLOOKUP(Ausgangssubstrate!$A18,'Datenbank Substrate'!$13:$103,12,FALSE)</f>
        <v>188.57</v>
      </c>
      <c r="G18" s="165">
        <f>VLOOKUP(Ausgangssubstrate!$A18,'Datenbank Substrate'!$13:$103,21,FALSE)</f>
        <v>0.6</v>
      </c>
      <c r="H18" s="130">
        <f t="shared" si="0"/>
        <v>8.8500000000000009E-2</v>
      </c>
      <c r="I18" s="131">
        <f>Ausgangssubstrate!$F18/Ausgangssubstrate!$G18</f>
        <v>314.28333333333336</v>
      </c>
      <c r="J18"/>
    </row>
    <row r="19" spans="1:10" ht="16.5" thickTop="1" thickBot="1">
      <c r="A19" s="128" t="s">
        <v>155</v>
      </c>
      <c r="B19" s="128" t="s">
        <v>37</v>
      </c>
      <c r="C19" s="129">
        <v>365</v>
      </c>
      <c r="D19" s="162">
        <f>VLOOKUP(Ausgangssubstrate!$A19,'Datenbank Substrate'!$13:$103,3,FALSE)/100</f>
        <v>0.15920000000000001</v>
      </c>
      <c r="E19" s="163">
        <f>VLOOKUP(Ausgangssubstrate!$A19,'Datenbank Substrate'!$13:$103,5,FALSE)</f>
        <v>0.55590452261306533</v>
      </c>
      <c r="F19" s="164">
        <f>VLOOKUP(Ausgangssubstrate!$A19,'Datenbank Substrate'!$13:$103,12,FALSE)</f>
        <v>188.57</v>
      </c>
      <c r="G19" s="165">
        <f>VLOOKUP(Ausgangssubstrate!$A19,'Datenbank Substrate'!$13:$103,21,FALSE)</f>
        <v>0.6</v>
      </c>
      <c r="H19" s="130">
        <f t="shared" si="0"/>
        <v>8.8500000000000009E-2</v>
      </c>
      <c r="I19" s="131">
        <f>Ausgangssubstrate!$F19/Ausgangssubstrate!$G19</f>
        <v>314.28333333333336</v>
      </c>
      <c r="J19"/>
    </row>
    <row r="20" spans="1:10" ht="16.5" thickTop="1" thickBot="1">
      <c r="A20" s="128" t="s">
        <v>155</v>
      </c>
      <c r="B20" s="128" t="s">
        <v>37</v>
      </c>
      <c r="C20" s="129">
        <v>365</v>
      </c>
      <c r="D20" s="162">
        <f>VLOOKUP(Ausgangssubstrate!$A20,'Datenbank Substrate'!$13:$103,3,FALSE)/100</f>
        <v>0.15920000000000001</v>
      </c>
      <c r="E20" s="163">
        <f>VLOOKUP(Ausgangssubstrate!$A20,'Datenbank Substrate'!$13:$103,5,FALSE)</f>
        <v>0.55590452261306533</v>
      </c>
      <c r="F20" s="164">
        <f>VLOOKUP(Ausgangssubstrate!$A20,'Datenbank Substrate'!$13:$103,12,FALSE)</f>
        <v>188.57</v>
      </c>
      <c r="G20" s="165">
        <f>VLOOKUP(Ausgangssubstrate!$A20,'Datenbank Substrate'!$13:$103,21,FALSE)</f>
        <v>0.6</v>
      </c>
      <c r="H20" s="130">
        <f t="shared" si="0"/>
        <v>8.8500000000000009E-2</v>
      </c>
      <c r="I20" s="131">
        <f>Ausgangssubstrate!$F20/Ausgangssubstrate!$G20</f>
        <v>314.28333333333336</v>
      </c>
      <c r="J20"/>
    </row>
    <row r="21" spans="1:10" ht="16.5" thickTop="1" thickBot="1">
      <c r="A21" s="128" t="s">
        <v>155</v>
      </c>
      <c r="B21" s="128" t="s">
        <v>37</v>
      </c>
      <c r="C21" s="129">
        <v>365</v>
      </c>
      <c r="D21" s="162">
        <f>VLOOKUP(Ausgangssubstrate!$A21,'Datenbank Substrate'!$13:$103,3,FALSE)/100</f>
        <v>0.15920000000000001</v>
      </c>
      <c r="E21" s="163">
        <f>VLOOKUP(Ausgangssubstrate!$A21,'Datenbank Substrate'!$13:$103,5,FALSE)</f>
        <v>0.55590452261306533</v>
      </c>
      <c r="F21" s="164">
        <f>VLOOKUP(Ausgangssubstrate!$A21,'Datenbank Substrate'!$13:$103,12,FALSE)</f>
        <v>188.57</v>
      </c>
      <c r="G21" s="165">
        <f>VLOOKUP(Ausgangssubstrate!$A21,'Datenbank Substrate'!$13:$103,21,FALSE)</f>
        <v>0.6</v>
      </c>
      <c r="H21" s="130">
        <f t="shared" si="0"/>
        <v>8.8500000000000009E-2</v>
      </c>
      <c r="I21" s="131">
        <f>Ausgangssubstrate!$F21/Ausgangssubstrate!$G21</f>
        <v>314.28333333333336</v>
      </c>
      <c r="J21"/>
    </row>
    <row r="22" spans="1:10" ht="16.5" thickTop="1" thickBot="1">
      <c r="A22" s="128" t="s">
        <v>155</v>
      </c>
      <c r="B22" s="128" t="s">
        <v>37</v>
      </c>
      <c r="C22" s="129">
        <v>365</v>
      </c>
      <c r="D22" s="162">
        <f>VLOOKUP(Ausgangssubstrate!$A22,'Datenbank Substrate'!$13:$103,3,FALSE)/100</f>
        <v>0.15920000000000001</v>
      </c>
      <c r="E22" s="163">
        <f>VLOOKUP(Ausgangssubstrate!$A22,'Datenbank Substrate'!$13:$103,5,FALSE)</f>
        <v>0.55590452261306533</v>
      </c>
      <c r="F22" s="164">
        <f>VLOOKUP(Ausgangssubstrate!$A22,'Datenbank Substrate'!$13:$103,12,FALSE)</f>
        <v>188.57</v>
      </c>
      <c r="G22" s="165">
        <f>VLOOKUP(Ausgangssubstrate!$A22,'Datenbank Substrate'!$13:$103,21,FALSE)</f>
        <v>0.6</v>
      </c>
      <c r="H22" s="130">
        <f t="shared" si="0"/>
        <v>8.8500000000000009E-2</v>
      </c>
      <c r="I22" s="131">
        <f>Ausgangssubstrate!$F22/Ausgangssubstrate!$G22</f>
        <v>314.28333333333336</v>
      </c>
      <c r="J22"/>
    </row>
    <row r="23" spans="1:10" ht="16.5" thickTop="1" thickBot="1">
      <c r="A23" s="128" t="s">
        <v>155</v>
      </c>
      <c r="B23" s="128" t="s">
        <v>37</v>
      </c>
      <c r="C23" s="129">
        <v>365</v>
      </c>
      <c r="D23" s="162">
        <f>VLOOKUP(Ausgangssubstrate!$A23,'Datenbank Substrate'!$13:$103,3,FALSE)/100</f>
        <v>0.15920000000000001</v>
      </c>
      <c r="E23" s="163">
        <f>VLOOKUP(Ausgangssubstrate!$A23,'Datenbank Substrate'!$13:$103,5,FALSE)</f>
        <v>0.55590452261306533</v>
      </c>
      <c r="F23" s="164">
        <f>VLOOKUP(Ausgangssubstrate!$A23,'Datenbank Substrate'!$13:$103,12,FALSE)</f>
        <v>188.57</v>
      </c>
      <c r="G23" s="165">
        <f>VLOOKUP(Ausgangssubstrate!$A23,'Datenbank Substrate'!$13:$103,21,FALSE)</f>
        <v>0.6</v>
      </c>
      <c r="H23" s="130">
        <f t="shared" si="0"/>
        <v>8.8500000000000009E-2</v>
      </c>
      <c r="I23" s="131">
        <f>Ausgangssubstrate!$F23/Ausgangssubstrate!$G23</f>
        <v>314.28333333333336</v>
      </c>
      <c r="J23"/>
    </row>
    <row r="24" spans="1:10" ht="16.5" thickTop="1" thickBot="1">
      <c r="A24" s="128" t="s">
        <v>155</v>
      </c>
      <c r="B24" s="128" t="s">
        <v>37</v>
      </c>
      <c r="C24" s="129">
        <v>365</v>
      </c>
      <c r="D24" s="162">
        <f>VLOOKUP(Ausgangssubstrate!$A24,'Datenbank Substrate'!$13:$103,3,FALSE)/100</f>
        <v>0.15920000000000001</v>
      </c>
      <c r="E24" s="163">
        <f>VLOOKUP(Ausgangssubstrate!$A24,'Datenbank Substrate'!$13:$103,5,FALSE)</f>
        <v>0.55590452261306533</v>
      </c>
      <c r="F24" s="164">
        <f>VLOOKUP(Ausgangssubstrate!$A24,'Datenbank Substrate'!$13:$103,12,FALSE)</f>
        <v>188.57</v>
      </c>
      <c r="G24" s="165">
        <f>VLOOKUP(Ausgangssubstrate!$A24,'Datenbank Substrate'!$13:$103,21,FALSE)</f>
        <v>0.6</v>
      </c>
      <c r="H24" s="130">
        <f t="shared" si="0"/>
        <v>8.8500000000000009E-2</v>
      </c>
      <c r="I24" s="131">
        <f>Ausgangssubstrate!$F24/Ausgangssubstrate!$G24</f>
        <v>314.28333333333336</v>
      </c>
      <c r="J24"/>
    </row>
    <row r="25" spans="1:10" ht="16.5" thickTop="1" thickBot="1">
      <c r="A25" s="128" t="s">
        <v>155</v>
      </c>
      <c r="B25" s="128" t="s">
        <v>37</v>
      </c>
      <c r="C25" s="129">
        <v>365</v>
      </c>
      <c r="D25" s="162">
        <f>VLOOKUP(Ausgangssubstrate!$A25,'Datenbank Substrate'!$13:$103,3,FALSE)/100</f>
        <v>0.15920000000000001</v>
      </c>
      <c r="E25" s="163">
        <f>VLOOKUP(Ausgangssubstrate!$A25,'Datenbank Substrate'!$13:$103,5,FALSE)</f>
        <v>0.55590452261306533</v>
      </c>
      <c r="F25" s="164">
        <f>VLOOKUP(Ausgangssubstrate!$A25,'Datenbank Substrate'!$13:$103,12,FALSE)</f>
        <v>188.57</v>
      </c>
      <c r="G25" s="165">
        <f>VLOOKUP(Ausgangssubstrate!$A25,'Datenbank Substrate'!$13:$103,21,FALSE)</f>
        <v>0.6</v>
      </c>
      <c r="H25" s="130">
        <f t="shared" si="0"/>
        <v>8.8500000000000009E-2</v>
      </c>
      <c r="I25" s="131">
        <f>Ausgangssubstrate!$F25/Ausgangssubstrate!$G25</f>
        <v>314.28333333333336</v>
      </c>
      <c r="J25"/>
    </row>
    <row r="26" spans="1:10" ht="16.5" thickTop="1" thickBot="1">
      <c r="A26" s="128" t="s">
        <v>155</v>
      </c>
      <c r="B26" s="128" t="s">
        <v>37</v>
      </c>
      <c r="C26" s="129">
        <v>365</v>
      </c>
      <c r="D26" s="162">
        <f>VLOOKUP(Ausgangssubstrate!$A26,'Datenbank Substrate'!$13:$103,3,FALSE)/100</f>
        <v>0.15920000000000001</v>
      </c>
      <c r="E26" s="163">
        <f>VLOOKUP(Ausgangssubstrate!$A26,'Datenbank Substrate'!$13:$103,5,FALSE)</f>
        <v>0.55590452261306533</v>
      </c>
      <c r="F26" s="164">
        <f>VLOOKUP(Ausgangssubstrate!$A26,'Datenbank Substrate'!$13:$103,12,FALSE)</f>
        <v>188.57</v>
      </c>
      <c r="G26" s="165">
        <f>VLOOKUP(Ausgangssubstrate!$A26,'Datenbank Substrate'!$13:$103,21,FALSE)</f>
        <v>0.6</v>
      </c>
      <c r="H26" s="130">
        <f t="shared" si="0"/>
        <v>8.8500000000000009E-2</v>
      </c>
      <c r="I26" s="131">
        <f>Ausgangssubstrate!$F26/Ausgangssubstrate!$G26</f>
        <v>314.28333333333336</v>
      </c>
      <c r="J26"/>
    </row>
    <row r="27" spans="1:10" ht="16.5" thickTop="1" thickBot="1">
      <c r="A27" s="128" t="s">
        <v>155</v>
      </c>
      <c r="B27" s="128" t="s">
        <v>37</v>
      </c>
      <c r="C27" s="132">
        <v>365</v>
      </c>
      <c r="D27" s="166">
        <f>VLOOKUP(Ausgangssubstrate!$A27,'Datenbank Substrate'!$13:$103,3,FALSE)/100</f>
        <v>0.15920000000000001</v>
      </c>
      <c r="E27" s="167">
        <f>VLOOKUP(Ausgangssubstrate!$A27,'Datenbank Substrate'!$13:$103,5,FALSE)</f>
        <v>0.55590452261306533</v>
      </c>
      <c r="F27" s="168">
        <f>VLOOKUP(Ausgangssubstrate!$A27,'Datenbank Substrate'!$13:$103,12,FALSE)</f>
        <v>188.57</v>
      </c>
      <c r="G27" s="169">
        <f>VLOOKUP(Ausgangssubstrate!$A27,'Datenbank Substrate'!$13:$103,21,FALSE)</f>
        <v>0.6</v>
      </c>
      <c r="H27" s="133">
        <f t="shared" si="0"/>
        <v>8.8500000000000009E-2</v>
      </c>
      <c r="I27" s="41">
        <f>Ausgangssubstrate!$F27/Ausgangssubstrate!$G27</f>
        <v>314.28333333333336</v>
      </c>
      <c r="J27"/>
    </row>
    <row r="28" spans="1:10" ht="15.75" thickTop="1">
      <c r="D28"/>
      <c r="E28"/>
      <c r="G28"/>
      <c r="H28"/>
      <c r="I28"/>
      <c r="J28"/>
    </row>
    <row r="29" spans="1:10">
      <c r="D29"/>
      <c r="E29"/>
      <c r="G29"/>
      <c r="H29"/>
      <c r="I29"/>
      <c r="J29"/>
    </row>
    <row r="30" spans="1:10">
      <c r="D30"/>
      <c r="E30"/>
      <c r="G30"/>
      <c r="H30"/>
      <c r="I30"/>
      <c r="J30"/>
    </row>
    <row r="31" spans="1:10">
      <c r="D31"/>
      <c r="E31"/>
      <c r="G31"/>
      <c r="H31"/>
      <c r="I31"/>
      <c r="J31"/>
    </row>
    <row r="32" spans="1:10">
      <c r="D32"/>
      <c r="E32"/>
      <c r="G32"/>
      <c r="H32"/>
      <c r="I32"/>
      <c r="J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</sheetData>
  <phoneticPr fontId="41" type="noConversion"/>
  <dataValidations count="1">
    <dataValidation allowBlank="1" showInputMessage="1" showErrorMessage="1" promptTitle="Substratmenge" prompt="Menge der Frischsubstanz in Kubikmeter pro Jahr eintragen." sqref="C6:C27" xr:uid="{6FA49BD7-EE5F-483E-9116-D2CDD1D4C1DF}"/>
  </dataValidations>
  <pageMargins left="0.7" right="0.7" top="0.78740157499999996" bottom="0.85144927536231885" header="0.3" footer="0.3"/>
  <pageSetup paperSize="9" orientation="portrait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ategorie" prompt="HS für Hauptsubstrat_x000a_Co-S für Co-Substrat (Abfall)" xr:uid="{5DDD92DA-8D5A-4670-903C-0F417693419E}">
          <x14:formula1>
            <xm:f>Legende!$C$16:$C$17</xm:f>
          </x14:formula1>
          <xm:sqref>B6:B27</xm:sqref>
        </x14:dataValidation>
        <x14:dataValidation type="list" errorStyle="information" allowBlank="1" showInputMessage="1" promptTitle="Ausgangssubstrat" prompt="Entweder Substrat aus der Dropdownliste auswählen oder Bezeichnung manuell eintragen. Im 2. Fall müssen die Werte in den Spalten C, D, E und F ebenfalls manuell eingetragen werden._x000a_" xr:uid="{3BC8726D-B026-429E-AB10-58FB241D34DE}">
          <x14:formula1>
            <xm:f>'Datenbank Substrate'!$A$13:$A103</xm:f>
          </x14:formula1>
          <xm:sqref>A6:A27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L84"/>
  <sheetViews>
    <sheetView zoomScale="85" zoomScaleNormal="85" zoomScalePageLayoutView="70" workbookViewId="0">
      <pane ySplit="2" topLeftCell="A3" activePane="bottomLeft" state="frozen"/>
      <selection pane="bottomLeft" activeCell="B6" sqref="B6"/>
    </sheetView>
  </sheetViews>
  <sheetFormatPr defaultColWidth="11.42578125" defaultRowHeight="15"/>
  <cols>
    <col min="1" max="1" width="26.5703125" bestFit="1" customWidth="1"/>
    <col min="2" max="3" width="20" customWidth="1"/>
    <col min="4" max="4" width="20.7109375" bestFit="1" customWidth="1"/>
    <col min="5" max="5" width="21.42578125" customWidth="1"/>
    <col min="6" max="6" width="20.85546875" bestFit="1" customWidth="1"/>
    <col min="7" max="8" width="21.5703125" bestFit="1" customWidth="1"/>
    <col min="9" max="9" width="15.28515625" bestFit="1" customWidth="1"/>
    <col min="10" max="10" width="15.85546875" bestFit="1" customWidth="1"/>
    <col min="11" max="11" width="14.7109375" bestFit="1" customWidth="1"/>
    <col min="12" max="12" width="15.42578125" bestFit="1" customWidth="1"/>
    <col min="13" max="13" width="22.140625" bestFit="1" customWidth="1"/>
    <col min="14" max="15" width="16.140625" bestFit="1" customWidth="1"/>
    <col min="16" max="16" width="15.85546875" bestFit="1" customWidth="1"/>
  </cols>
  <sheetData>
    <row r="1" spans="1:10" ht="45" customHeight="1">
      <c r="A1" s="26"/>
      <c r="C1" s="20"/>
      <c r="D1" s="20"/>
      <c r="E1" s="6"/>
      <c r="F1" s="4"/>
      <c r="G1" s="20"/>
      <c r="H1" s="3"/>
    </row>
    <row r="2" spans="1:10" ht="20.25" thickBot="1">
      <c r="A2" s="24" t="s">
        <v>156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Top="1"/>
    <row r="4" spans="1:10" ht="18" thickBot="1">
      <c r="A4" s="42" t="s">
        <v>46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18.75" customHeight="1" thickTop="1"/>
    <row r="6" spans="1:10" ht="18.75" customHeight="1">
      <c r="A6" s="86" t="str">
        <f>Methanproduktion!A4</f>
        <v>Substrat</v>
      </c>
      <c r="B6" s="86" t="str">
        <f>Methanproduktion!B4</f>
        <v>Substratmenge FS</v>
      </c>
      <c r="C6" s="86" t="str">
        <f>Methanproduktion!C4</f>
        <v>Substratmenge FS</v>
      </c>
      <c r="D6" s="86" t="str">
        <f>Methanproduktion!D4</f>
        <v>TS-Konzentration</v>
      </c>
      <c r="E6" s="86" t="str">
        <f>Methanproduktion!E4</f>
        <v>Substratmenge TS</v>
      </c>
      <c r="F6" s="86" t="str">
        <f>Methanproduktion!F4</f>
        <v>oTS-Konzentration</v>
      </c>
      <c r="G6" s="86" t="str">
        <f>Methanproduktion!G4</f>
        <v>Substratmenge oTS</v>
      </c>
      <c r="H6" s="86" t="str">
        <f>Methanproduktion!H4</f>
        <v>Substratmenge oTS</v>
      </c>
    </row>
    <row r="7" spans="1:10" ht="18.75" customHeight="1">
      <c r="A7" s="125" t="str">
        <f>Methanproduktion!A5</f>
        <v>Bezeichnung</v>
      </c>
      <c r="B7" s="125" t="str">
        <f>Methanproduktion!B5</f>
        <v>[m3 FS a-1]</v>
      </c>
      <c r="C7" s="125" t="str">
        <f>Methanproduktion!C5</f>
        <v>[m3 FS d-1]</v>
      </c>
      <c r="D7" s="125" t="s">
        <v>128</v>
      </c>
      <c r="E7" s="125" t="str">
        <f>Methanproduktion!E5</f>
        <v>[t TS d-1]</v>
      </c>
      <c r="F7" s="125" t="s">
        <v>128</v>
      </c>
      <c r="G7" s="125" t="str">
        <f>Methanproduktion!G5</f>
        <v>[t oTS d-1]</v>
      </c>
      <c r="H7" s="125" t="str">
        <f>Methanproduktion!H5</f>
        <v>[kg oTS d-1]</v>
      </c>
    </row>
    <row r="8" spans="1:10" ht="18.75" customHeight="1">
      <c r="A8" s="135" t="str">
        <f>Methanproduktion!A6</f>
        <v>Belebtschlamm, eingedickt</v>
      </c>
      <c r="B8" s="135">
        <f>Methanproduktion!B6</f>
        <v>365</v>
      </c>
      <c r="C8" s="138">
        <f>Methanproduktion!C6</f>
        <v>0.99931553730321698</v>
      </c>
      <c r="D8" s="136">
        <f>Methanproduktion!D6</f>
        <v>0.15920000000000001</v>
      </c>
      <c r="E8" s="137">
        <f>Methanproduktion!E6</f>
        <v>0.15909103353867216</v>
      </c>
      <c r="F8" s="136">
        <f>Methanproduktion!F6</f>
        <v>8.8499999999999995E-2</v>
      </c>
      <c r="G8" s="137">
        <f>Methanproduktion!G6</f>
        <v>1.4079556468172485E-2</v>
      </c>
      <c r="H8" s="141">
        <f>Methanproduktion!H6</f>
        <v>14.079556468172486</v>
      </c>
    </row>
    <row r="9" spans="1:10" ht="18.75" customHeight="1">
      <c r="A9" s="135" t="str">
        <f>Methanproduktion!A7</f>
        <v>Belebtschlamm, eingedickt</v>
      </c>
      <c r="B9" s="135">
        <f>Methanproduktion!B7</f>
        <v>365</v>
      </c>
      <c r="C9" s="138">
        <f>Methanproduktion!C7</f>
        <v>0.99931553730321698</v>
      </c>
      <c r="D9" s="136">
        <f>Methanproduktion!D7</f>
        <v>0.15920000000000001</v>
      </c>
      <c r="E9" s="137">
        <f>Methanproduktion!E7</f>
        <v>0.15909103353867216</v>
      </c>
      <c r="F9" s="136">
        <f>Methanproduktion!F7</f>
        <v>8.8499999999999995E-2</v>
      </c>
      <c r="G9" s="137">
        <f>Methanproduktion!G7</f>
        <v>1.4079556468172485E-2</v>
      </c>
      <c r="H9" s="141">
        <f>Methanproduktion!H7</f>
        <v>14.079556468172486</v>
      </c>
    </row>
    <row r="10" spans="1:10" ht="18.75" customHeight="1">
      <c r="A10" s="135" t="str">
        <f>Methanproduktion!A8</f>
        <v>Belebtschlamm, eingedickt</v>
      </c>
      <c r="B10" s="135">
        <f>Methanproduktion!B8</f>
        <v>365</v>
      </c>
      <c r="C10" s="138">
        <f>Methanproduktion!C8</f>
        <v>0.99931553730321698</v>
      </c>
      <c r="D10" s="136">
        <f>Methanproduktion!D8</f>
        <v>0.15920000000000001</v>
      </c>
      <c r="E10" s="137">
        <f>Methanproduktion!E8</f>
        <v>0.15909103353867216</v>
      </c>
      <c r="F10" s="136">
        <f>Methanproduktion!F8</f>
        <v>8.8499999999999995E-2</v>
      </c>
      <c r="G10" s="137">
        <f>Methanproduktion!G8</f>
        <v>1.4079556468172485E-2</v>
      </c>
      <c r="H10" s="141">
        <f>Methanproduktion!H8</f>
        <v>14.079556468172486</v>
      </c>
    </row>
    <row r="11" spans="1:10" ht="18.75" customHeight="1">
      <c r="A11" s="135" t="str">
        <f>Methanproduktion!A9</f>
        <v>Belebtschlamm, eingedickt</v>
      </c>
      <c r="B11" s="135">
        <f>Methanproduktion!B9</f>
        <v>365</v>
      </c>
      <c r="C11" s="138">
        <f>Methanproduktion!C9</f>
        <v>0.99931553730321698</v>
      </c>
      <c r="D11" s="136">
        <f>Methanproduktion!D9</f>
        <v>0.15920000000000001</v>
      </c>
      <c r="E11" s="137">
        <f>Methanproduktion!E9</f>
        <v>0.15909103353867216</v>
      </c>
      <c r="F11" s="136">
        <f>Methanproduktion!F9</f>
        <v>8.8499999999999995E-2</v>
      </c>
      <c r="G11" s="137">
        <f>Methanproduktion!G9</f>
        <v>1.4079556468172485E-2</v>
      </c>
      <c r="H11" s="141">
        <f>Methanproduktion!H9</f>
        <v>14.079556468172486</v>
      </c>
    </row>
    <row r="12" spans="1:10" ht="18.75" customHeight="1">
      <c r="A12" s="135" t="str">
        <f>Methanproduktion!A10</f>
        <v>Belebtschlamm, eingedickt</v>
      </c>
      <c r="B12" s="135">
        <f>Methanproduktion!B10</f>
        <v>365</v>
      </c>
      <c r="C12" s="138">
        <f>Methanproduktion!C10</f>
        <v>0.99931553730321698</v>
      </c>
      <c r="D12" s="136">
        <f>Methanproduktion!D10</f>
        <v>0.15920000000000001</v>
      </c>
      <c r="E12" s="137">
        <f>Methanproduktion!E10</f>
        <v>0.15909103353867216</v>
      </c>
      <c r="F12" s="136">
        <f>Methanproduktion!F10</f>
        <v>8.8499999999999995E-2</v>
      </c>
      <c r="G12" s="137">
        <f>Methanproduktion!G10</f>
        <v>1.4079556468172485E-2</v>
      </c>
      <c r="H12" s="141">
        <f>Methanproduktion!H10</f>
        <v>14.079556468172486</v>
      </c>
    </row>
    <row r="13" spans="1:10" ht="18.75" customHeight="1">
      <c r="A13" s="135" t="str">
        <f>Methanproduktion!A11</f>
        <v>Belebtschlamm, eingedickt</v>
      </c>
      <c r="B13" s="135">
        <f>Methanproduktion!B11</f>
        <v>365</v>
      </c>
      <c r="C13" s="138">
        <f>Methanproduktion!C11</f>
        <v>0.99931553730321698</v>
      </c>
      <c r="D13" s="136">
        <f>Methanproduktion!D11</f>
        <v>0.15920000000000001</v>
      </c>
      <c r="E13" s="137">
        <f>Methanproduktion!E11</f>
        <v>0.15909103353867216</v>
      </c>
      <c r="F13" s="136">
        <f>Methanproduktion!F11</f>
        <v>8.8499999999999995E-2</v>
      </c>
      <c r="G13" s="137">
        <f>Methanproduktion!G11</f>
        <v>1.4079556468172485E-2</v>
      </c>
      <c r="H13" s="141">
        <f>Methanproduktion!H11</f>
        <v>14.079556468172486</v>
      </c>
    </row>
    <row r="14" spans="1:10" ht="18.75" customHeight="1">
      <c r="A14" s="135" t="str">
        <f>Methanproduktion!A12</f>
        <v>Belebtschlamm, eingedickt</v>
      </c>
      <c r="B14" s="135">
        <f>Methanproduktion!B12</f>
        <v>365</v>
      </c>
      <c r="C14" s="138">
        <f>Methanproduktion!C12</f>
        <v>0.99931553730321698</v>
      </c>
      <c r="D14" s="136">
        <f>Methanproduktion!D12</f>
        <v>0.15920000000000001</v>
      </c>
      <c r="E14" s="137">
        <f>Methanproduktion!E12</f>
        <v>0.15909103353867216</v>
      </c>
      <c r="F14" s="136">
        <f>Methanproduktion!F12</f>
        <v>8.8499999999999995E-2</v>
      </c>
      <c r="G14" s="137">
        <f>Methanproduktion!G12</f>
        <v>1.4079556468172485E-2</v>
      </c>
      <c r="H14" s="141">
        <f>Methanproduktion!H12</f>
        <v>14.079556468172486</v>
      </c>
    </row>
    <row r="15" spans="1:10" ht="18.75" customHeight="1">
      <c r="A15" s="135" t="str">
        <f>Methanproduktion!A13</f>
        <v>Belebtschlamm, eingedickt</v>
      </c>
      <c r="B15" s="135">
        <f>Methanproduktion!B13</f>
        <v>365</v>
      </c>
      <c r="C15" s="138">
        <f>Methanproduktion!C13</f>
        <v>0.99931553730321698</v>
      </c>
      <c r="D15" s="136">
        <f>Methanproduktion!D13</f>
        <v>0.15920000000000001</v>
      </c>
      <c r="E15" s="137">
        <f>Methanproduktion!E13</f>
        <v>0.15909103353867216</v>
      </c>
      <c r="F15" s="136">
        <f>Methanproduktion!F13</f>
        <v>8.8499999999999995E-2</v>
      </c>
      <c r="G15" s="137">
        <f>Methanproduktion!G13</f>
        <v>1.4079556468172485E-2</v>
      </c>
      <c r="H15" s="141">
        <f>Methanproduktion!H13</f>
        <v>14.079556468172486</v>
      </c>
    </row>
    <row r="16" spans="1:10" ht="18.75" customHeight="1">
      <c r="A16" s="135" t="str">
        <f>Methanproduktion!A14</f>
        <v>Belebtschlamm, eingedickt</v>
      </c>
      <c r="B16" s="135">
        <f>Methanproduktion!B14</f>
        <v>365</v>
      </c>
      <c r="C16" s="138">
        <f>Methanproduktion!C14</f>
        <v>0.99931553730321698</v>
      </c>
      <c r="D16" s="136">
        <f>Methanproduktion!D14</f>
        <v>0.15920000000000001</v>
      </c>
      <c r="E16" s="137">
        <f>Methanproduktion!E14</f>
        <v>0.15909103353867216</v>
      </c>
      <c r="F16" s="136">
        <f>Methanproduktion!F14</f>
        <v>8.8499999999999995E-2</v>
      </c>
      <c r="G16" s="137">
        <f>Methanproduktion!G14</f>
        <v>1.4079556468172485E-2</v>
      </c>
      <c r="H16" s="141">
        <f>Methanproduktion!H14</f>
        <v>14.079556468172486</v>
      </c>
    </row>
    <row r="17" spans="1:8" ht="18.75" customHeight="1">
      <c r="A17" s="135" t="str">
        <f>Methanproduktion!A15</f>
        <v>Belebtschlamm, eingedickt</v>
      </c>
      <c r="B17" s="135">
        <f>Methanproduktion!B15</f>
        <v>365</v>
      </c>
      <c r="C17" s="138">
        <f>Methanproduktion!C15</f>
        <v>0.99931553730321698</v>
      </c>
      <c r="D17" s="136">
        <f>Methanproduktion!D15</f>
        <v>0.15920000000000001</v>
      </c>
      <c r="E17" s="137">
        <f>Methanproduktion!E15</f>
        <v>0.15909103353867216</v>
      </c>
      <c r="F17" s="136">
        <f>Methanproduktion!F15</f>
        <v>8.8499999999999995E-2</v>
      </c>
      <c r="G17" s="137">
        <f>Methanproduktion!G15</f>
        <v>1.4079556468172485E-2</v>
      </c>
      <c r="H17" s="141">
        <f>Methanproduktion!H15</f>
        <v>14.079556468172486</v>
      </c>
    </row>
    <row r="18" spans="1:8" ht="18.75" customHeight="1">
      <c r="A18" s="135" t="str">
        <f>Methanproduktion!A16</f>
        <v>Belebtschlamm, eingedickt</v>
      </c>
      <c r="B18" s="135">
        <f>Methanproduktion!B16</f>
        <v>365</v>
      </c>
      <c r="C18" s="138">
        <f>Methanproduktion!C16</f>
        <v>0.99931553730321698</v>
      </c>
      <c r="D18" s="136">
        <f>Methanproduktion!D16</f>
        <v>0.15920000000000001</v>
      </c>
      <c r="E18" s="137">
        <f>Methanproduktion!E16</f>
        <v>0.15909103353867216</v>
      </c>
      <c r="F18" s="136">
        <f>Methanproduktion!F16</f>
        <v>8.8499999999999995E-2</v>
      </c>
      <c r="G18" s="137">
        <f>Methanproduktion!G16</f>
        <v>1.4079556468172485E-2</v>
      </c>
      <c r="H18" s="141">
        <f>Methanproduktion!H16</f>
        <v>14.079556468172486</v>
      </c>
    </row>
    <row r="19" spans="1:8" ht="18.75" customHeight="1">
      <c r="A19" s="135" t="str">
        <f>Methanproduktion!A17</f>
        <v>Belebtschlamm, eingedickt</v>
      </c>
      <c r="B19" s="135">
        <f>Methanproduktion!B17</f>
        <v>365</v>
      </c>
      <c r="C19" s="138">
        <f>Methanproduktion!C17</f>
        <v>0.99931553730321698</v>
      </c>
      <c r="D19" s="136">
        <f>Methanproduktion!D17</f>
        <v>0.15920000000000001</v>
      </c>
      <c r="E19" s="137">
        <f>Methanproduktion!E17</f>
        <v>0.15909103353867216</v>
      </c>
      <c r="F19" s="136">
        <f>Methanproduktion!F17</f>
        <v>8.8499999999999995E-2</v>
      </c>
      <c r="G19" s="137">
        <f>Methanproduktion!G17</f>
        <v>1.4079556468172485E-2</v>
      </c>
      <c r="H19" s="141">
        <f>Methanproduktion!H17</f>
        <v>14.079556468172486</v>
      </c>
    </row>
    <row r="20" spans="1:8" ht="18.75" customHeight="1">
      <c r="A20" s="135" t="str">
        <f>Methanproduktion!A18</f>
        <v>Belebtschlamm, eingedickt</v>
      </c>
      <c r="B20" s="135">
        <f>Methanproduktion!B18</f>
        <v>365</v>
      </c>
      <c r="C20" s="138">
        <f>Methanproduktion!C18</f>
        <v>0.99931553730321698</v>
      </c>
      <c r="D20" s="136">
        <f>Methanproduktion!D18</f>
        <v>0.15920000000000001</v>
      </c>
      <c r="E20" s="137">
        <f>Methanproduktion!E18</f>
        <v>0.15909103353867216</v>
      </c>
      <c r="F20" s="136">
        <f>Methanproduktion!F18</f>
        <v>8.8499999999999995E-2</v>
      </c>
      <c r="G20" s="137">
        <f>Methanproduktion!G18</f>
        <v>1.4079556468172485E-2</v>
      </c>
      <c r="H20" s="141">
        <f>Methanproduktion!H18</f>
        <v>14.079556468172486</v>
      </c>
    </row>
    <row r="21" spans="1:8" ht="18.75" customHeight="1">
      <c r="A21" s="135" t="str">
        <f>Methanproduktion!A19</f>
        <v>Belebtschlamm, eingedickt</v>
      </c>
      <c r="B21" s="135">
        <f>Methanproduktion!B19</f>
        <v>365</v>
      </c>
      <c r="C21" s="138">
        <f>Methanproduktion!C19</f>
        <v>0.99931553730321698</v>
      </c>
      <c r="D21" s="136">
        <f>Methanproduktion!D19</f>
        <v>0.15920000000000001</v>
      </c>
      <c r="E21" s="137">
        <f>Methanproduktion!E19</f>
        <v>0.15909103353867216</v>
      </c>
      <c r="F21" s="136">
        <f>Methanproduktion!F19</f>
        <v>8.8499999999999995E-2</v>
      </c>
      <c r="G21" s="137">
        <f>Methanproduktion!G19</f>
        <v>1.4079556468172485E-2</v>
      </c>
      <c r="H21" s="141">
        <f>Methanproduktion!H19</f>
        <v>14.079556468172486</v>
      </c>
    </row>
    <row r="22" spans="1:8" ht="18.75" customHeight="1">
      <c r="A22" s="135" t="str">
        <f>Methanproduktion!A20</f>
        <v>Belebtschlamm, eingedickt</v>
      </c>
      <c r="B22" s="135">
        <f>Methanproduktion!B20</f>
        <v>365</v>
      </c>
      <c r="C22" s="138">
        <f>Methanproduktion!C20</f>
        <v>0.99931553730321698</v>
      </c>
      <c r="D22" s="136">
        <f>Methanproduktion!D20</f>
        <v>0.15920000000000001</v>
      </c>
      <c r="E22" s="137">
        <f>Methanproduktion!E20</f>
        <v>0.15909103353867216</v>
      </c>
      <c r="F22" s="136">
        <f>Methanproduktion!F20</f>
        <v>8.8499999999999995E-2</v>
      </c>
      <c r="G22" s="137">
        <f>Methanproduktion!G20</f>
        <v>1.4079556468172485E-2</v>
      </c>
      <c r="H22" s="141">
        <f>Methanproduktion!H20</f>
        <v>14.079556468172486</v>
      </c>
    </row>
    <row r="23" spans="1:8" ht="18.75" customHeight="1">
      <c r="A23" s="135" t="str">
        <f>Methanproduktion!A21</f>
        <v>Belebtschlamm, eingedickt</v>
      </c>
      <c r="B23" s="135">
        <f>Methanproduktion!B21</f>
        <v>365</v>
      </c>
      <c r="C23" s="138">
        <f>Methanproduktion!C21</f>
        <v>0.99931553730321698</v>
      </c>
      <c r="D23" s="136">
        <f>Methanproduktion!D21</f>
        <v>0.15920000000000001</v>
      </c>
      <c r="E23" s="137">
        <f>Methanproduktion!E21</f>
        <v>0.15909103353867216</v>
      </c>
      <c r="F23" s="136">
        <f>Methanproduktion!F21</f>
        <v>8.8499999999999995E-2</v>
      </c>
      <c r="G23" s="137">
        <f>Methanproduktion!G21</f>
        <v>1.4079556468172485E-2</v>
      </c>
      <c r="H23" s="141">
        <f>Methanproduktion!H21</f>
        <v>14.079556468172486</v>
      </c>
    </row>
    <row r="24" spans="1:8" ht="18.75" customHeight="1">
      <c r="A24" s="135" t="str">
        <f>Methanproduktion!A22</f>
        <v>Belebtschlamm, eingedickt</v>
      </c>
      <c r="B24" s="135">
        <f>Methanproduktion!B22</f>
        <v>365</v>
      </c>
      <c r="C24" s="138">
        <f>Methanproduktion!C22</f>
        <v>0.99931553730321698</v>
      </c>
      <c r="D24" s="136">
        <f>Methanproduktion!D22</f>
        <v>0.15920000000000001</v>
      </c>
      <c r="E24" s="137">
        <f>Methanproduktion!E22</f>
        <v>0.15909103353867216</v>
      </c>
      <c r="F24" s="136">
        <f>Methanproduktion!F22</f>
        <v>8.8499999999999995E-2</v>
      </c>
      <c r="G24" s="137">
        <f>Methanproduktion!G22</f>
        <v>1.4079556468172485E-2</v>
      </c>
      <c r="H24" s="141">
        <f>Methanproduktion!H22</f>
        <v>14.079556468172486</v>
      </c>
    </row>
    <row r="25" spans="1:8" ht="18.75" customHeight="1">
      <c r="A25" s="135" t="str">
        <f>Methanproduktion!A23</f>
        <v>Belebtschlamm, eingedickt</v>
      </c>
      <c r="B25" s="135">
        <f>Methanproduktion!B23</f>
        <v>365</v>
      </c>
      <c r="C25" s="138">
        <f>Methanproduktion!C23</f>
        <v>0.99931553730321698</v>
      </c>
      <c r="D25" s="136">
        <f>Methanproduktion!D23</f>
        <v>0.15920000000000001</v>
      </c>
      <c r="E25" s="137">
        <f>Methanproduktion!E23</f>
        <v>0.15909103353867216</v>
      </c>
      <c r="F25" s="136">
        <f>Methanproduktion!F23</f>
        <v>8.8499999999999995E-2</v>
      </c>
      <c r="G25" s="137">
        <f>Methanproduktion!G23</f>
        <v>1.4079556468172485E-2</v>
      </c>
      <c r="H25" s="141">
        <f>Methanproduktion!H23</f>
        <v>14.079556468172486</v>
      </c>
    </row>
    <row r="26" spans="1:8" ht="18.75" customHeight="1">
      <c r="A26" s="135" t="str">
        <f>Methanproduktion!A24</f>
        <v>Belebtschlamm, eingedickt</v>
      </c>
      <c r="B26" s="135">
        <f>Methanproduktion!B24</f>
        <v>365</v>
      </c>
      <c r="C26" s="138">
        <f>Methanproduktion!C24</f>
        <v>0.99931553730321698</v>
      </c>
      <c r="D26" s="136">
        <f>Methanproduktion!D24</f>
        <v>0.15920000000000001</v>
      </c>
      <c r="E26" s="137">
        <f>Methanproduktion!E24</f>
        <v>0.15909103353867216</v>
      </c>
      <c r="F26" s="136">
        <f>Methanproduktion!F24</f>
        <v>8.8499999999999995E-2</v>
      </c>
      <c r="G26" s="137">
        <f>Methanproduktion!G24</f>
        <v>1.4079556468172485E-2</v>
      </c>
      <c r="H26" s="141">
        <f>Methanproduktion!H24</f>
        <v>14.079556468172486</v>
      </c>
    </row>
    <row r="27" spans="1:8" ht="18.75" customHeight="1">
      <c r="A27" s="135" t="str">
        <f>Methanproduktion!A25</f>
        <v>Belebtschlamm, eingedickt</v>
      </c>
      <c r="B27" s="135">
        <f>Methanproduktion!B25</f>
        <v>365</v>
      </c>
      <c r="C27" s="138">
        <f>Methanproduktion!C25</f>
        <v>0.99931553730321698</v>
      </c>
      <c r="D27" s="136">
        <f>Methanproduktion!D25</f>
        <v>0.15920000000000001</v>
      </c>
      <c r="E27" s="137">
        <f>Methanproduktion!E25</f>
        <v>0.15909103353867216</v>
      </c>
      <c r="F27" s="136">
        <f>Methanproduktion!F25</f>
        <v>8.8499999999999995E-2</v>
      </c>
      <c r="G27" s="137">
        <f>Methanproduktion!G25</f>
        <v>1.4079556468172485E-2</v>
      </c>
      <c r="H27" s="141">
        <f>Methanproduktion!H25</f>
        <v>14.079556468172486</v>
      </c>
    </row>
    <row r="28" spans="1:8" ht="18.75" customHeight="1">
      <c r="A28" s="135" t="str">
        <f>Methanproduktion!A26</f>
        <v>Belebtschlamm, eingedickt</v>
      </c>
      <c r="B28" s="135">
        <f>Methanproduktion!B26</f>
        <v>365</v>
      </c>
      <c r="C28" s="138">
        <f>Methanproduktion!C26</f>
        <v>0.99931553730321698</v>
      </c>
      <c r="D28" s="136">
        <f>Methanproduktion!D26</f>
        <v>0.15920000000000001</v>
      </c>
      <c r="E28" s="137">
        <f>Methanproduktion!E26</f>
        <v>0.15909103353867216</v>
      </c>
      <c r="F28" s="136">
        <f>Methanproduktion!F26</f>
        <v>8.8499999999999995E-2</v>
      </c>
      <c r="G28" s="137">
        <f>Methanproduktion!G26</f>
        <v>1.4079556468172485E-2</v>
      </c>
      <c r="H28" s="141">
        <f>Methanproduktion!H26</f>
        <v>14.079556468172486</v>
      </c>
    </row>
    <row r="29" spans="1:8" ht="18.75" customHeight="1">
      <c r="A29" s="135" t="str">
        <f>Methanproduktion!A27</f>
        <v>Belebtschlamm, eingedickt</v>
      </c>
      <c r="B29" s="135">
        <f>Methanproduktion!B27</f>
        <v>365</v>
      </c>
      <c r="C29" s="138">
        <f>Methanproduktion!C27</f>
        <v>0.99931553730321698</v>
      </c>
      <c r="D29" s="136">
        <f>Methanproduktion!D27</f>
        <v>0.15920000000000001</v>
      </c>
      <c r="E29" s="137">
        <f>Methanproduktion!E27</f>
        <v>0.15909103353867216</v>
      </c>
      <c r="F29" s="136">
        <f>Methanproduktion!F27</f>
        <v>8.8499999999999995E-2</v>
      </c>
      <c r="G29" s="137">
        <f>Methanproduktion!G27</f>
        <v>1.4079556468172485E-2</v>
      </c>
      <c r="H29" s="141">
        <f>Methanproduktion!H27</f>
        <v>14.079556468172486</v>
      </c>
    </row>
    <row r="30" spans="1:8" ht="18.75" customHeight="1" thickBot="1">
      <c r="A30" s="49" t="str">
        <f>Methanproduktion!A28</f>
        <v>Total</v>
      </c>
      <c r="B30" s="65">
        <f>Methanproduktion!B28</f>
        <v>8030</v>
      </c>
      <c r="C30" s="153">
        <f>Methanproduktion!C28</f>
        <v>21.984941820670777</v>
      </c>
      <c r="D30" s="146">
        <f>Methanproduktion!D28</f>
        <v>0.15920000000000009</v>
      </c>
      <c r="E30" s="154">
        <f>Methanproduktion!E28</f>
        <v>3.5000027378507896</v>
      </c>
      <c r="F30" s="146">
        <f>Methanproduktion!F28</f>
        <v>8.8499999999999968E-2</v>
      </c>
      <c r="G30" s="154">
        <f>Methanproduktion!G28</f>
        <v>0.30975024229979475</v>
      </c>
      <c r="H30" s="65">
        <f>Methanproduktion!H28</f>
        <v>309.75024229979471</v>
      </c>
    </row>
    <row r="31" spans="1:8" s="51" customFormat="1" ht="18.75" customHeight="1" thickTop="1">
      <c r="C31" s="150" t="str">
        <f>Methanproduktion!C29</f>
        <v>Summe</v>
      </c>
      <c r="D31" s="151" t="str">
        <f>Methanproduktion!D29</f>
        <v>Durchschnitt</v>
      </c>
      <c r="E31" s="152" t="str">
        <f>Methanproduktion!E29</f>
        <v>Summe</v>
      </c>
      <c r="F31" s="151" t="str">
        <f>Methanproduktion!F29</f>
        <v>Durchschnitt</v>
      </c>
      <c r="G31" s="152" t="str">
        <f>Methanproduktion!G29</f>
        <v>Summe</v>
      </c>
      <c r="H31" s="150" t="str">
        <f>Methanproduktion!H29</f>
        <v>Summe</v>
      </c>
    </row>
    <row r="32" spans="1:8" s="51" customFormat="1" ht="18.75" customHeight="1">
      <c r="C32" s="150"/>
      <c r="D32" s="151"/>
      <c r="E32" s="152"/>
      <c r="F32" s="151"/>
      <c r="G32" s="152"/>
      <c r="H32" s="150"/>
    </row>
    <row r="33" spans="1:12" s="9" customFormat="1" ht="18" thickBot="1">
      <c r="A33" s="42" t="s">
        <v>122</v>
      </c>
      <c r="B33" s="42"/>
      <c r="C33" s="42"/>
      <c r="D33" s="42"/>
      <c r="E33" s="42"/>
      <c r="F33" s="42"/>
      <c r="G33" s="42"/>
      <c r="H33" s="42"/>
      <c r="I33" s="42"/>
      <c r="J33" s="42"/>
      <c r="K33"/>
    </row>
    <row r="34" spans="1:12" s="9" customFormat="1" ht="15.75" thickTop="1">
      <c r="B34"/>
      <c r="C34"/>
      <c r="D34"/>
      <c r="E34"/>
      <c r="F34"/>
      <c r="G34"/>
      <c r="H34"/>
      <c r="I34"/>
      <c r="J34"/>
      <c r="K34"/>
    </row>
    <row r="35" spans="1:12" s="9" customFormat="1" ht="15.75">
      <c r="A35" s="86" t="str">
        <f t="shared" ref="A35:A58" si="0">A6</f>
        <v>Substrat</v>
      </c>
      <c r="B35" s="86" t="str">
        <f>Methanproduktion!I4</f>
        <v>Abbaugrad</v>
      </c>
      <c r="C35" s="86" t="str">
        <f>Methanproduktion!J4</f>
        <v>BMPTest</v>
      </c>
      <c r="D35" s="86" t="str">
        <f>Methanproduktion!K4</f>
        <v>Biogasertrag</v>
      </c>
      <c r="E35" s="86" t="str">
        <f>Methanproduktion!L4</f>
        <v>Biogasertrag</v>
      </c>
      <c r="F35" s="86" t="str">
        <f>Methanproduktion!M4</f>
        <v>Methananteil</v>
      </c>
      <c r="G35" s="86" t="str">
        <f>Methanproduktion!N4</f>
        <v>spez. Methanertrag</v>
      </c>
      <c r="H35" s="86" t="str">
        <f>Methanproduktion!O4</f>
        <v>Methanertrag</v>
      </c>
      <c r="I35" s="86" t="str">
        <f>Methanproduktion!P4</f>
        <v>Methanertrag</v>
      </c>
      <c r="J35" s="86" t="str">
        <f>Methanproduktion!R4</f>
        <v>Energieertrag</v>
      </c>
      <c r="K35"/>
      <c r="L35"/>
    </row>
    <row r="36" spans="1:12" s="9" customFormat="1">
      <c r="A36" s="125" t="str">
        <f t="shared" si="0"/>
        <v>Bezeichnung</v>
      </c>
      <c r="B36" s="125" t="s">
        <v>128</v>
      </c>
      <c r="C36" s="125" t="str">
        <f>Methanproduktion!J5</f>
        <v>[L kg-1 oTS]</v>
      </c>
      <c r="D36" s="125" t="str">
        <f>Methanproduktion!K5</f>
        <v>[Nm3 d-1]</v>
      </c>
      <c r="E36" s="125" t="str">
        <f>Methanproduktion!L5</f>
        <v>[Nm3 a-1]</v>
      </c>
      <c r="F36" s="125" t="str">
        <f>Methanproduktion!M5</f>
        <v>[-]</v>
      </c>
      <c r="G36" s="125" t="str">
        <f>Methanproduktion!N5</f>
        <v>[Nm3 t-1 oTS]</v>
      </c>
      <c r="H36" s="125" t="str">
        <f>Methanproduktion!O5</f>
        <v>[Nm3 d-1]</v>
      </c>
      <c r="I36" s="125" t="str">
        <f>Methanproduktion!P5</f>
        <v>[Nm3 a-1]</v>
      </c>
      <c r="J36" s="125" t="str">
        <f>Methanproduktion!R5</f>
        <v>[kWh a-1]</v>
      </c>
      <c r="K36"/>
      <c r="L36"/>
    </row>
    <row r="37" spans="1:12" s="9" customFormat="1">
      <c r="A37" s="135" t="str">
        <f t="shared" si="0"/>
        <v>Belebtschlamm, eingedickt</v>
      </c>
      <c r="B37" s="136">
        <f>Methanproduktion!I6</f>
        <v>0.9999999802362165</v>
      </c>
      <c r="C37" s="139">
        <f>Methanproduktion!J6</f>
        <v>188.57</v>
      </c>
      <c r="D37" s="140">
        <f>Methanproduktion!K6</f>
        <v>2.6549819107307964</v>
      </c>
      <c r="E37" s="141">
        <f>Methanproduktion!L6</f>
        <v>969.73214289442342</v>
      </c>
      <c r="F37" s="135">
        <f>Methanproduktion!M6</f>
        <v>0.6</v>
      </c>
      <c r="G37" s="139">
        <f>Methanproduktion!N6</f>
        <v>113.142</v>
      </c>
      <c r="H37" s="138">
        <f>Methanproduktion!O6</f>
        <v>1.5929891464384778</v>
      </c>
      <c r="I37" s="141">
        <f>Methanproduktion!P6</f>
        <v>581.83928573665401</v>
      </c>
      <c r="J37" s="141">
        <f>Methanproduktion!R6</f>
        <v>139194.57600535121</v>
      </c>
      <c r="K37"/>
      <c r="L37"/>
    </row>
    <row r="38" spans="1:12" s="9" customFormat="1">
      <c r="A38" s="135" t="str">
        <f t="shared" si="0"/>
        <v>Belebtschlamm, eingedickt</v>
      </c>
      <c r="B38" s="136">
        <f>Methanproduktion!I7</f>
        <v>0.9999999802362165</v>
      </c>
      <c r="C38" s="139">
        <f>Methanproduktion!J7</f>
        <v>188.57</v>
      </c>
      <c r="D38" s="140">
        <f>Methanproduktion!K7</f>
        <v>2.6549819107307964</v>
      </c>
      <c r="E38" s="141">
        <f>Methanproduktion!L7</f>
        <v>969.73214289442342</v>
      </c>
      <c r="F38" s="135">
        <f>Methanproduktion!M7</f>
        <v>0.6</v>
      </c>
      <c r="G38" s="139">
        <f>Methanproduktion!N7</f>
        <v>113.142</v>
      </c>
      <c r="H38" s="138">
        <f>Methanproduktion!O7</f>
        <v>1.5929891464384778</v>
      </c>
      <c r="I38" s="141">
        <f>Methanproduktion!P7</f>
        <v>581.83928573665401</v>
      </c>
      <c r="J38" s="141">
        <f>Methanproduktion!R7</f>
        <v>139194.57600535121</v>
      </c>
      <c r="K38"/>
      <c r="L38"/>
    </row>
    <row r="39" spans="1:12" s="9" customFormat="1">
      <c r="A39" s="135" t="str">
        <f t="shared" si="0"/>
        <v>Belebtschlamm, eingedickt</v>
      </c>
      <c r="B39" s="136">
        <f>Methanproduktion!I8</f>
        <v>0.9999999802362165</v>
      </c>
      <c r="C39" s="139">
        <f>Methanproduktion!J8</f>
        <v>188.57</v>
      </c>
      <c r="D39" s="140">
        <f>Methanproduktion!K8</f>
        <v>2.6549819107307964</v>
      </c>
      <c r="E39" s="141">
        <f>Methanproduktion!L8</f>
        <v>969.73214289442342</v>
      </c>
      <c r="F39" s="135">
        <f>Methanproduktion!M8</f>
        <v>0.6</v>
      </c>
      <c r="G39" s="139">
        <f>Methanproduktion!N8</f>
        <v>113.142</v>
      </c>
      <c r="H39" s="138">
        <f>Methanproduktion!O8</f>
        <v>1.5929891464384778</v>
      </c>
      <c r="I39" s="141">
        <f>Methanproduktion!P8</f>
        <v>581.83928573665401</v>
      </c>
      <c r="J39" s="141">
        <f>Methanproduktion!R8</f>
        <v>139194.57600535121</v>
      </c>
      <c r="K39"/>
      <c r="L39"/>
    </row>
    <row r="40" spans="1:12" s="9" customFormat="1">
      <c r="A40" s="135" t="str">
        <f t="shared" si="0"/>
        <v>Belebtschlamm, eingedickt</v>
      </c>
      <c r="B40" s="136">
        <f>Methanproduktion!I9</f>
        <v>0.9999999802362165</v>
      </c>
      <c r="C40" s="139">
        <f>Methanproduktion!J9</f>
        <v>188.57</v>
      </c>
      <c r="D40" s="140">
        <f>Methanproduktion!K9</f>
        <v>2.6549819107307964</v>
      </c>
      <c r="E40" s="141">
        <f>Methanproduktion!L9</f>
        <v>969.73214289442342</v>
      </c>
      <c r="F40" s="135">
        <f>Methanproduktion!M9</f>
        <v>0.6</v>
      </c>
      <c r="G40" s="139">
        <f>Methanproduktion!N9</f>
        <v>113.142</v>
      </c>
      <c r="H40" s="138">
        <f>Methanproduktion!O9</f>
        <v>1.5929891464384778</v>
      </c>
      <c r="I40" s="141">
        <f>Methanproduktion!P9</f>
        <v>581.83928573665401</v>
      </c>
      <c r="J40" s="141">
        <f>Methanproduktion!R9</f>
        <v>139194.57600535121</v>
      </c>
      <c r="K40"/>
      <c r="L40"/>
    </row>
    <row r="41" spans="1:12" s="9" customFormat="1">
      <c r="A41" s="135" t="str">
        <f t="shared" si="0"/>
        <v>Belebtschlamm, eingedickt</v>
      </c>
      <c r="B41" s="136">
        <f>Methanproduktion!I10</f>
        <v>0.9999999802362165</v>
      </c>
      <c r="C41" s="139">
        <f>Methanproduktion!J10</f>
        <v>188.57</v>
      </c>
      <c r="D41" s="140">
        <f>Methanproduktion!K10</f>
        <v>2.6549819107307964</v>
      </c>
      <c r="E41" s="141">
        <f>Methanproduktion!L10</f>
        <v>969.73214289442342</v>
      </c>
      <c r="F41" s="135">
        <f>Methanproduktion!M10</f>
        <v>0.6</v>
      </c>
      <c r="G41" s="139">
        <f>Methanproduktion!N10</f>
        <v>113.142</v>
      </c>
      <c r="H41" s="138">
        <f>Methanproduktion!O10</f>
        <v>1.5929891464384778</v>
      </c>
      <c r="I41" s="141">
        <f>Methanproduktion!P10</f>
        <v>581.83928573665401</v>
      </c>
      <c r="J41" s="141">
        <f>Methanproduktion!R10</f>
        <v>139194.57600535121</v>
      </c>
      <c r="K41"/>
      <c r="L41"/>
    </row>
    <row r="42" spans="1:12" s="9" customFormat="1">
      <c r="A42" s="135" t="str">
        <f t="shared" si="0"/>
        <v>Belebtschlamm, eingedickt</v>
      </c>
      <c r="B42" s="136">
        <f>Methanproduktion!I11</f>
        <v>0.9999999802362165</v>
      </c>
      <c r="C42" s="139">
        <f>Methanproduktion!J11</f>
        <v>188.57</v>
      </c>
      <c r="D42" s="140">
        <f>Methanproduktion!K11</f>
        <v>2.6549819107307964</v>
      </c>
      <c r="E42" s="141">
        <f>Methanproduktion!L11</f>
        <v>969.73214289442342</v>
      </c>
      <c r="F42" s="135">
        <f>Methanproduktion!M11</f>
        <v>0.6</v>
      </c>
      <c r="G42" s="139">
        <f>Methanproduktion!N11</f>
        <v>113.142</v>
      </c>
      <c r="H42" s="138">
        <f>Methanproduktion!O11</f>
        <v>1.5929891464384778</v>
      </c>
      <c r="I42" s="141">
        <f>Methanproduktion!P11</f>
        <v>581.83928573665401</v>
      </c>
      <c r="J42" s="141">
        <f>Methanproduktion!R11</f>
        <v>139194.57600535121</v>
      </c>
      <c r="K42"/>
      <c r="L42"/>
    </row>
    <row r="43" spans="1:12" s="9" customFormat="1">
      <c r="A43" s="135" t="str">
        <f t="shared" si="0"/>
        <v>Belebtschlamm, eingedickt</v>
      </c>
      <c r="B43" s="136">
        <f>Methanproduktion!I12</f>
        <v>0.99999998023621661</v>
      </c>
      <c r="C43" s="139">
        <f>Methanproduktion!J12</f>
        <v>188.57</v>
      </c>
      <c r="D43" s="140">
        <f>Methanproduktion!K12</f>
        <v>2.6549819107307968</v>
      </c>
      <c r="E43" s="141">
        <f>Methanproduktion!L12</f>
        <v>969.73214289442353</v>
      </c>
      <c r="F43" s="135">
        <f>Methanproduktion!M12</f>
        <v>0.6</v>
      </c>
      <c r="G43" s="139">
        <f>Methanproduktion!N12</f>
        <v>113.142</v>
      </c>
      <c r="H43" s="138">
        <f>Methanproduktion!O12</f>
        <v>1.592989146438478</v>
      </c>
      <c r="I43" s="141">
        <f>Methanproduktion!P12</f>
        <v>581.83928573665412</v>
      </c>
      <c r="J43" s="141">
        <f>Methanproduktion!R12</f>
        <v>139194.57600535123</v>
      </c>
      <c r="K43"/>
      <c r="L43"/>
    </row>
    <row r="44" spans="1:12" s="9" customFormat="1">
      <c r="A44" s="135" t="str">
        <f t="shared" si="0"/>
        <v>Belebtschlamm, eingedickt</v>
      </c>
      <c r="B44" s="136">
        <f>Methanproduktion!I13</f>
        <v>0.9999999802362165</v>
      </c>
      <c r="C44" s="139">
        <f>Methanproduktion!J13</f>
        <v>188.57</v>
      </c>
      <c r="D44" s="140">
        <f>Methanproduktion!K13</f>
        <v>2.6549819107307964</v>
      </c>
      <c r="E44" s="141">
        <f>Methanproduktion!L13</f>
        <v>969.73214289442342</v>
      </c>
      <c r="F44" s="135">
        <f>Methanproduktion!M13</f>
        <v>0.6</v>
      </c>
      <c r="G44" s="139">
        <f>Methanproduktion!N13</f>
        <v>113.142</v>
      </c>
      <c r="H44" s="138">
        <f>Methanproduktion!O13</f>
        <v>1.5929891464384778</v>
      </c>
      <c r="I44" s="141">
        <f>Methanproduktion!P13</f>
        <v>581.83928573665401</v>
      </c>
      <c r="J44" s="141">
        <f>Methanproduktion!R13</f>
        <v>139194.57600535121</v>
      </c>
      <c r="K44"/>
      <c r="L44"/>
    </row>
    <row r="45" spans="1:12" s="9" customFormat="1">
      <c r="A45" s="135" t="str">
        <f t="shared" si="0"/>
        <v>Belebtschlamm, eingedickt</v>
      </c>
      <c r="B45" s="136">
        <f>Methanproduktion!I14</f>
        <v>0.9999999802362165</v>
      </c>
      <c r="C45" s="139">
        <f>Methanproduktion!J14</f>
        <v>188.57</v>
      </c>
      <c r="D45" s="140">
        <f>Methanproduktion!K14</f>
        <v>2.6549819107307964</v>
      </c>
      <c r="E45" s="141">
        <f>Methanproduktion!L14</f>
        <v>969.73214289442342</v>
      </c>
      <c r="F45" s="135">
        <f>Methanproduktion!M14</f>
        <v>0.6</v>
      </c>
      <c r="G45" s="139">
        <f>Methanproduktion!N14</f>
        <v>113.142</v>
      </c>
      <c r="H45" s="138">
        <f>Methanproduktion!O14</f>
        <v>1.5929891464384778</v>
      </c>
      <c r="I45" s="141">
        <f>Methanproduktion!P14</f>
        <v>581.83928573665401</v>
      </c>
      <c r="J45" s="141">
        <f>Methanproduktion!R14</f>
        <v>139194.57600535121</v>
      </c>
      <c r="K45"/>
      <c r="L45"/>
    </row>
    <row r="46" spans="1:12" s="9" customFormat="1">
      <c r="A46" s="135" t="str">
        <f t="shared" si="0"/>
        <v>Belebtschlamm, eingedickt</v>
      </c>
      <c r="B46" s="136">
        <f>Methanproduktion!I15</f>
        <v>0.9999999802362165</v>
      </c>
      <c r="C46" s="139">
        <f>Methanproduktion!J15</f>
        <v>188.57</v>
      </c>
      <c r="D46" s="140">
        <f>Methanproduktion!K15</f>
        <v>2.6549819107307964</v>
      </c>
      <c r="E46" s="141">
        <f>Methanproduktion!L15</f>
        <v>969.73214289442342</v>
      </c>
      <c r="F46" s="135">
        <f>Methanproduktion!M15</f>
        <v>0.6</v>
      </c>
      <c r="G46" s="139">
        <f>Methanproduktion!N15</f>
        <v>113.142</v>
      </c>
      <c r="H46" s="138">
        <f>Methanproduktion!O15</f>
        <v>1.5929891464384778</v>
      </c>
      <c r="I46" s="141">
        <f>Methanproduktion!P15</f>
        <v>581.83928573665401</v>
      </c>
      <c r="J46" s="141">
        <f>Methanproduktion!R15</f>
        <v>139194.57600535121</v>
      </c>
      <c r="K46"/>
      <c r="L46"/>
    </row>
    <row r="47" spans="1:12" s="9" customFormat="1">
      <c r="A47" s="135" t="str">
        <f t="shared" si="0"/>
        <v>Belebtschlamm, eingedickt</v>
      </c>
      <c r="B47" s="136">
        <f>Methanproduktion!I16</f>
        <v>0.9999999802362165</v>
      </c>
      <c r="C47" s="139">
        <f>Methanproduktion!J16</f>
        <v>188.57</v>
      </c>
      <c r="D47" s="140">
        <f>Methanproduktion!K16</f>
        <v>2.6549819107307964</v>
      </c>
      <c r="E47" s="141">
        <f>Methanproduktion!L16</f>
        <v>969.73214289442342</v>
      </c>
      <c r="F47" s="135">
        <f>Methanproduktion!M16</f>
        <v>0.6</v>
      </c>
      <c r="G47" s="139">
        <f>Methanproduktion!N16</f>
        <v>113.142</v>
      </c>
      <c r="H47" s="138">
        <f>Methanproduktion!O16</f>
        <v>1.5929891464384778</v>
      </c>
      <c r="I47" s="141">
        <f>Methanproduktion!P16</f>
        <v>581.83928573665401</v>
      </c>
      <c r="J47" s="141">
        <f>Methanproduktion!R16</f>
        <v>139194.57600535121</v>
      </c>
      <c r="K47"/>
      <c r="L47"/>
    </row>
    <row r="48" spans="1:12" s="9" customFormat="1">
      <c r="A48" s="135" t="str">
        <f t="shared" si="0"/>
        <v>Belebtschlamm, eingedickt</v>
      </c>
      <c r="B48" s="136">
        <f>Methanproduktion!I17</f>
        <v>0.9999999802362165</v>
      </c>
      <c r="C48" s="139">
        <f>Methanproduktion!J17</f>
        <v>188.57</v>
      </c>
      <c r="D48" s="140">
        <f>Methanproduktion!K17</f>
        <v>2.6549819107307964</v>
      </c>
      <c r="E48" s="141">
        <f>Methanproduktion!L17</f>
        <v>969.73214289442342</v>
      </c>
      <c r="F48" s="135">
        <f>Methanproduktion!M17</f>
        <v>0.6</v>
      </c>
      <c r="G48" s="139">
        <f>Methanproduktion!N17</f>
        <v>113.142</v>
      </c>
      <c r="H48" s="138">
        <f>Methanproduktion!O17</f>
        <v>1.5929891464384778</v>
      </c>
      <c r="I48" s="141">
        <f>Methanproduktion!P17</f>
        <v>581.83928573665401</v>
      </c>
      <c r="J48" s="141">
        <f>Methanproduktion!R17</f>
        <v>139194.57600535121</v>
      </c>
      <c r="K48"/>
      <c r="L48"/>
    </row>
    <row r="49" spans="1:12" s="9" customFormat="1">
      <c r="A49" s="135" t="str">
        <f t="shared" si="0"/>
        <v>Belebtschlamm, eingedickt</v>
      </c>
      <c r="B49" s="136">
        <f>Methanproduktion!I18</f>
        <v>0.9999999802362165</v>
      </c>
      <c r="C49" s="139">
        <f>Methanproduktion!J18</f>
        <v>188.57</v>
      </c>
      <c r="D49" s="140">
        <f>Methanproduktion!K18</f>
        <v>2.6549819107307964</v>
      </c>
      <c r="E49" s="141">
        <f>Methanproduktion!L18</f>
        <v>969.73214289442342</v>
      </c>
      <c r="F49" s="135">
        <f>Methanproduktion!M18</f>
        <v>0.6</v>
      </c>
      <c r="G49" s="139">
        <f>Methanproduktion!N18</f>
        <v>113.142</v>
      </c>
      <c r="H49" s="138">
        <f>Methanproduktion!O18</f>
        <v>1.5929891464384778</v>
      </c>
      <c r="I49" s="141">
        <f>Methanproduktion!P18</f>
        <v>581.83928573665401</v>
      </c>
      <c r="J49" s="141">
        <f>Methanproduktion!R18</f>
        <v>139194.57600535121</v>
      </c>
      <c r="K49"/>
      <c r="L49"/>
    </row>
    <row r="50" spans="1:12" s="9" customFormat="1">
      <c r="A50" s="135" t="str">
        <f t="shared" si="0"/>
        <v>Belebtschlamm, eingedickt</v>
      </c>
      <c r="B50" s="136">
        <f>Methanproduktion!I19</f>
        <v>0.9999999802362165</v>
      </c>
      <c r="C50" s="139">
        <f>Methanproduktion!J19</f>
        <v>188.57</v>
      </c>
      <c r="D50" s="140">
        <f>Methanproduktion!K19</f>
        <v>2.6549819107307964</v>
      </c>
      <c r="E50" s="141">
        <f>Methanproduktion!L19</f>
        <v>969.73214289442342</v>
      </c>
      <c r="F50" s="135">
        <f>Methanproduktion!M19</f>
        <v>0.6</v>
      </c>
      <c r="G50" s="139">
        <f>Methanproduktion!N19</f>
        <v>113.142</v>
      </c>
      <c r="H50" s="138">
        <f>Methanproduktion!O19</f>
        <v>1.5929891464384778</v>
      </c>
      <c r="I50" s="141">
        <f>Methanproduktion!P19</f>
        <v>581.83928573665401</v>
      </c>
      <c r="J50" s="141">
        <f>Methanproduktion!R19</f>
        <v>139194.57600535121</v>
      </c>
      <c r="K50"/>
      <c r="L50"/>
    </row>
    <row r="51" spans="1:12" s="9" customFormat="1">
      <c r="A51" s="135" t="str">
        <f t="shared" si="0"/>
        <v>Belebtschlamm, eingedickt</v>
      </c>
      <c r="B51" s="136">
        <f>Methanproduktion!I20</f>
        <v>0.9999999802362165</v>
      </c>
      <c r="C51" s="139">
        <f>Methanproduktion!J20</f>
        <v>188.57</v>
      </c>
      <c r="D51" s="140">
        <f>Methanproduktion!K20</f>
        <v>2.6549819107307964</v>
      </c>
      <c r="E51" s="141">
        <f>Methanproduktion!L20</f>
        <v>969.73214289442342</v>
      </c>
      <c r="F51" s="135">
        <f>Methanproduktion!M20</f>
        <v>0.6</v>
      </c>
      <c r="G51" s="139">
        <f>Methanproduktion!N20</f>
        <v>113.142</v>
      </c>
      <c r="H51" s="138">
        <f>Methanproduktion!O20</f>
        <v>1.5929891464384778</v>
      </c>
      <c r="I51" s="141">
        <f>Methanproduktion!P20</f>
        <v>581.83928573665401</v>
      </c>
      <c r="J51" s="141">
        <f>Methanproduktion!R20</f>
        <v>139194.57600535121</v>
      </c>
      <c r="K51"/>
      <c r="L51"/>
    </row>
    <row r="52" spans="1:12" s="9" customFormat="1">
      <c r="A52" s="135" t="str">
        <f t="shared" si="0"/>
        <v>Belebtschlamm, eingedickt</v>
      </c>
      <c r="B52" s="136">
        <f>Methanproduktion!I21</f>
        <v>0.9999999802362165</v>
      </c>
      <c r="C52" s="139">
        <f>Methanproduktion!J21</f>
        <v>188.57</v>
      </c>
      <c r="D52" s="140">
        <f>Methanproduktion!K21</f>
        <v>2.6549819107307964</v>
      </c>
      <c r="E52" s="141">
        <f>Methanproduktion!L21</f>
        <v>969.73214289442342</v>
      </c>
      <c r="F52" s="135">
        <f>Methanproduktion!M21</f>
        <v>0.6</v>
      </c>
      <c r="G52" s="139">
        <f>Methanproduktion!N21</f>
        <v>113.142</v>
      </c>
      <c r="H52" s="138">
        <f>Methanproduktion!O21</f>
        <v>1.5929891464384778</v>
      </c>
      <c r="I52" s="141">
        <f>Methanproduktion!P21</f>
        <v>581.83928573665401</v>
      </c>
      <c r="J52" s="141">
        <f>Methanproduktion!R21</f>
        <v>139194.57600535121</v>
      </c>
      <c r="K52"/>
      <c r="L52"/>
    </row>
    <row r="53" spans="1:12" s="9" customFormat="1">
      <c r="A53" s="135" t="str">
        <f t="shared" si="0"/>
        <v>Belebtschlamm, eingedickt</v>
      </c>
      <c r="B53" s="136">
        <f>Methanproduktion!I22</f>
        <v>0.9999999802362165</v>
      </c>
      <c r="C53" s="139">
        <f>Methanproduktion!J22</f>
        <v>188.57</v>
      </c>
      <c r="D53" s="140">
        <f>Methanproduktion!K22</f>
        <v>2.6549819107307964</v>
      </c>
      <c r="E53" s="141">
        <f>Methanproduktion!L22</f>
        <v>969.73214289442342</v>
      </c>
      <c r="F53" s="135">
        <f>Methanproduktion!M22</f>
        <v>0.6</v>
      </c>
      <c r="G53" s="139">
        <f>Methanproduktion!N22</f>
        <v>113.142</v>
      </c>
      <c r="H53" s="138">
        <f>Methanproduktion!O22</f>
        <v>1.5929891464384778</v>
      </c>
      <c r="I53" s="141">
        <f>Methanproduktion!P22</f>
        <v>581.83928573665401</v>
      </c>
      <c r="J53" s="141">
        <f>Methanproduktion!R22</f>
        <v>139194.57600535121</v>
      </c>
      <c r="K53"/>
      <c r="L53"/>
    </row>
    <row r="54" spans="1:12" s="9" customFormat="1">
      <c r="A54" s="135" t="str">
        <f t="shared" si="0"/>
        <v>Belebtschlamm, eingedickt</v>
      </c>
      <c r="B54" s="136">
        <f>Methanproduktion!I23</f>
        <v>0.9999999802362165</v>
      </c>
      <c r="C54" s="139">
        <f>Methanproduktion!J23</f>
        <v>188.57</v>
      </c>
      <c r="D54" s="140">
        <f>Methanproduktion!K23</f>
        <v>2.6549819107307964</v>
      </c>
      <c r="E54" s="141">
        <f>Methanproduktion!L23</f>
        <v>969.73214289442342</v>
      </c>
      <c r="F54" s="135">
        <f>Methanproduktion!M23</f>
        <v>0.6</v>
      </c>
      <c r="G54" s="139">
        <f>Methanproduktion!N23</f>
        <v>113.142</v>
      </c>
      <c r="H54" s="138">
        <f>Methanproduktion!O23</f>
        <v>1.5929891464384778</v>
      </c>
      <c r="I54" s="141">
        <f>Methanproduktion!P23</f>
        <v>581.83928573665401</v>
      </c>
      <c r="J54" s="141">
        <f>Methanproduktion!R23</f>
        <v>139194.57600535121</v>
      </c>
      <c r="K54"/>
      <c r="L54"/>
    </row>
    <row r="55" spans="1:12" s="9" customFormat="1">
      <c r="A55" s="135" t="str">
        <f t="shared" si="0"/>
        <v>Belebtschlamm, eingedickt</v>
      </c>
      <c r="B55" s="136">
        <f>Methanproduktion!I24</f>
        <v>0.9999999802362165</v>
      </c>
      <c r="C55" s="139">
        <f>Methanproduktion!J24</f>
        <v>188.57</v>
      </c>
      <c r="D55" s="140">
        <f>Methanproduktion!K24</f>
        <v>2.6549819107307964</v>
      </c>
      <c r="E55" s="141">
        <f>Methanproduktion!L24</f>
        <v>969.73214289442342</v>
      </c>
      <c r="F55" s="135">
        <f>Methanproduktion!M24</f>
        <v>0.6</v>
      </c>
      <c r="G55" s="139">
        <f>Methanproduktion!N24</f>
        <v>113.142</v>
      </c>
      <c r="H55" s="138">
        <f>Methanproduktion!O24</f>
        <v>1.5929891464384778</v>
      </c>
      <c r="I55" s="141">
        <f>Methanproduktion!P24</f>
        <v>581.83928573665401</v>
      </c>
      <c r="J55" s="141">
        <f>Methanproduktion!R24</f>
        <v>139194.57600535121</v>
      </c>
      <c r="K55"/>
      <c r="L55"/>
    </row>
    <row r="56" spans="1:12" s="9" customFormat="1">
      <c r="A56" s="135" t="str">
        <f t="shared" si="0"/>
        <v>Belebtschlamm, eingedickt</v>
      </c>
      <c r="B56" s="136">
        <f>Methanproduktion!I25</f>
        <v>0.9999999802362165</v>
      </c>
      <c r="C56" s="139">
        <f>Methanproduktion!J25</f>
        <v>188.57</v>
      </c>
      <c r="D56" s="140">
        <f>Methanproduktion!K25</f>
        <v>2.6549819107307964</v>
      </c>
      <c r="E56" s="141">
        <f>Methanproduktion!L25</f>
        <v>969.73214289442342</v>
      </c>
      <c r="F56" s="135">
        <f>Methanproduktion!M25</f>
        <v>0.6</v>
      </c>
      <c r="G56" s="139">
        <f>Methanproduktion!N25</f>
        <v>113.142</v>
      </c>
      <c r="H56" s="138">
        <f>Methanproduktion!O25</f>
        <v>1.5929891464384778</v>
      </c>
      <c r="I56" s="141">
        <f>Methanproduktion!P25</f>
        <v>581.83928573665401</v>
      </c>
      <c r="J56" s="141">
        <f>Methanproduktion!R25</f>
        <v>139194.57600535121</v>
      </c>
      <c r="K56"/>
      <c r="L56"/>
    </row>
    <row r="57" spans="1:12" s="9" customFormat="1">
      <c r="A57" s="135" t="str">
        <f t="shared" si="0"/>
        <v>Belebtschlamm, eingedickt</v>
      </c>
      <c r="B57" s="136">
        <f>Methanproduktion!I26</f>
        <v>0.9999999802362165</v>
      </c>
      <c r="C57" s="139">
        <f>Methanproduktion!J26</f>
        <v>188.57</v>
      </c>
      <c r="D57" s="140">
        <f>Methanproduktion!K26</f>
        <v>2.6549819107307964</v>
      </c>
      <c r="E57" s="141">
        <f>Methanproduktion!L26</f>
        <v>969.73214289442342</v>
      </c>
      <c r="F57" s="135">
        <f>Methanproduktion!M26</f>
        <v>0.6</v>
      </c>
      <c r="G57" s="139">
        <f>Methanproduktion!N26</f>
        <v>113.142</v>
      </c>
      <c r="H57" s="138">
        <f>Methanproduktion!O26</f>
        <v>1.5929891464384778</v>
      </c>
      <c r="I57" s="141">
        <f>Methanproduktion!P26</f>
        <v>581.83928573665401</v>
      </c>
      <c r="J57" s="141">
        <f>Methanproduktion!R26</f>
        <v>139194.57600535121</v>
      </c>
      <c r="K57"/>
      <c r="L57"/>
    </row>
    <row r="58" spans="1:12" s="9" customFormat="1">
      <c r="A58" s="135" t="str">
        <f t="shared" si="0"/>
        <v>Belebtschlamm, eingedickt</v>
      </c>
      <c r="B58" s="136">
        <f>Methanproduktion!I27</f>
        <v>0.9999999802362165</v>
      </c>
      <c r="C58" s="139">
        <f>Methanproduktion!J27</f>
        <v>188.57</v>
      </c>
      <c r="D58" s="140">
        <f>Methanproduktion!K27</f>
        <v>2.6549819107307964</v>
      </c>
      <c r="E58" s="141">
        <f>Methanproduktion!L27</f>
        <v>969.73214289442342</v>
      </c>
      <c r="F58" s="135">
        <f>Methanproduktion!M27</f>
        <v>0.6</v>
      </c>
      <c r="G58" s="139">
        <f>Methanproduktion!N27</f>
        <v>113.142</v>
      </c>
      <c r="H58" s="138">
        <f>Methanproduktion!O27</f>
        <v>1.5929891464384778</v>
      </c>
      <c r="I58" s="141">
        <f>Methanproduktion!P27</f>
        <v>581.83928573665401</v>
      </c>
      <c r="J58" s="141">
        <f>Methanproduktion!R27</f>
        <v>139194.57600535121</v>
      </c>
      <c r="K58"/>
      <c r="L58"/>
    </row>
    <row r="59" spans="1:12" ht="18.75" customHeight="1" thickBot="1">
      <c r="A59" s="49"/>
      <c r="B59" s="65">
        <f>Methanproduktion!I28</f>
        <v>0</v>
      </c>
      <c r="C59" s="153">
        <f>Methanproduktion!J28</f>
        <v>188.56999627314329</v>
      </c>
      <c r="D59" s="153">
        <f>Methanproduktion!K28</f>
        <v>58.40960203607753</v>
      </c>
      <c r="E59" s="65">
        <f>Methanproduktion!L28</f>
        <v>21334.107143677316</v>
      </c>
      <c r="F59" s="154">
        <f>Methanproduktion!M28</f>
        <v>0.59999999999999976</v>
      </c>
      <c r="G59" s="153">
        <f>Methanproduktion!N28</f>
        <v>113.14199776388593</v>
      </c>
      <c r="H59" s="153">
        <f>Methanproduktion!O28</f>
        <v>35.045761221646501</v>
      </c>
      <c r="I59" s="65">
        <f>Methanproduktion!P28</f>
        <v>12800.464286206392</v>
      </c>
      <c r="J59" s="65">
        <f>Methanproduktion!R28</f>
        <v>3062280.672117725</v>
      </c>
    </row>
    <row r="60" spans="1:12" s="51" customFormat="1" ht="18.75" customHeight="1" thickTop="1">
      <c r="B60" s="51" t="str">
        <f>Methanproduktion!I29</f>
        <v>Durchschnitt</v>
      </c>
      <c r="C60" s="150" t="str">
        <f>Methanproduktion!J29</f>
        <v>Durchschnitt</v>
      </c>
      <c r="D60" s="151" t="str">
        <f>Methanproduktion!K29</f>
        <v>Summe</v>
      </c>
      <c r="E60" s="151" t="str">
        <f>Methanproduktion!L29</f>
        <v>Summe</v>
      </c>
      <c r="F60" s="152" t="str">
        <f>Methanproduktion!M29</f>
        <v>Durchschnitt</v>
      </c>
      <c r="G60" s="151" t="str">
        <f>Methanproduktion!N29</f>
        <v>Durchschnitt</v>
      </c>
      <c r="H60" s="152" t="str">
        <f>Methanproduktion!O29</f>
        <v>Summe</v>
      </c>
      <c r="I60" s="150" t="str">
        <f>Methanproduktion!P29</f>
        <v>Summe</v>
      </c>
      <c r="J60" s="152" t="str">
        <f>Methanproduktion!R29</f>
        <v>Summe</v>
      </c>
    </row>
    <row r="62" spans="1:12" ht="15.75">
      <c r="A62" s="86" t="str">
        <f>Energieproduktion!A13</f>
        <v>Energieproduktion</v>
      </c>
      <c r="B62" s="86" t="str">
        <f>Energieproduktion!B13</f>
        <v>Total</v>
      </c>
      <c r="C62" s="86" t="str">
        <f>Energieproduktion!C13</f>
        <v>Hauptsubstrate</v>
      </c>
      <c r="D62" s="86" t="str">
        <f>Energieproduktion!D13</f>
        <v>Co-Substrate</v>
      </c>
      <c r="E62" s="86" t="str">
        <f>Energieproduktion!E13</f>
        <v>Einheit</v>
      </c>
    </row>
    <row r="63" spans="1:12">
      <c r="A63" s="125" t="str">
        <f>Energieproduktion!A14</f>
        <v>Energieertrag pro Stunde</v>
      </c>
      <c r="B63" s="140">
        <f>Energieproduktion!B14</f>
        <v>14.555672827390509</v>
      </c>
      <c r="C63" s="140">
        <f ca="1">Energieproduktion!C14</f>
        <v>6.6162149215411432</v>
      </c>
      <c r="D63" s="140">
        <f ca="1">Energieproduktion!D14</f>
        <v>7.9394579058493733</v>
      </c>
      <c r="E63" s="125" t="str">
        <f>Energieproduktion!E14</f>
        <v>[kWh h-1]</v>
      </c>
      <c r="G63" s="16"/>
    </row>
    <row r="64" spans="1:12">
      <c r="A64" s="125" t="str">
        <f>Energieproduktion!A15</f>
        <v>Energieertrag pro Tag</v>
      </c>
      <c r="B64" s="140">
        <f>Energieproduktion!B15</f>
        <v>349.33614785737223</v>
      </c>
      <c r="C64" s="140">
        <f ca="1">Energieproduktion!C15</f>
        <v>158.78915811698744</v>
      </c>
      <c r="D64" s="140">
        <f ca="1">Energieproduktion!D15</f>
        <v>190.54698974038496</v>
      </c>
      <c r="E64" s="125" t="str">
        <f>Energieproduktion!E15</f>
        <v>[kWh d-1]</v>
      </c>
    </row>
    <row r="65" spans="1:11">
      <c r="A65" s="125" t="str">
        <f>Energieproduktion!A16</f>
        <v>Energieertrag pro Jahr</v>
      </c>
      <c r="B65" s="140">
        <f>Energieproduktion!B16</f>
        <v>127.5950280049052</v>
      </c>
      <c r="C65" s="140">
        <f ca="1">Energieproduktion!C16</f>
        <v>57.997740002229662</v>
      </c>
      <c r="D65" s="140">
        <f ca="1">Energieproduktion!D16</f>
        <v>69.597288002675597</v>
      </c>
      <c r="E65" s="125" t="str">
        <f>Energieproduktion!E16</f>
        <v>[MWh a-1]</v>
      </c>
    </row>
    <row r="66" spans="1:11" ht="4.5" customHeight="1">
      <c r="B66" s="174"/>
      <c r="C66" s="174"/>
      <c r="D66" s="174"/>
    </row>
    <row r="67" spans="1:11">
      <c r="A67" s="125" t="str">
        <f>Energieproduktion!A18</f>
        <v>Stromertrag pro Stunde</v>
      </c>
      <c r="B67" s="140">
        <f>Energieproduktion!B18</f>
        <v>5.385598946134488</v>
      </c>
      <c r="C67" s="140">
        <f ca="1">Energieproduktion!C18</f>
        <v>2.4479995209702228</v>
      </c>
      <c r="D67" s="140">
        <f ca="1">Energieproduktion!D18</f>
        <v>2.9375994251642679</v>
      </c>
      <c r="E67" s="125" t="str">
        <f>Energieproduktion!E18</f>
        <v>[kWhel h-1]</v>
      </c>
    </row>
    <row r="68" spans="1:11">
      <c r="A68" s="125" t="str">
        <f>Energieproduktion!A19</f>
        <v>Stromertrag pro Tag</v>
      </c>
      <c r="B68" s="140">
        <f>Energieproduktion!B19</f>
        <v>129.25437470722773</v>
      </c>
      <c r="C68" s="140">
        <f ca="1">Energieproduktion!C19</f>
        <v>58.751988503285354</v>
      </c>
      <c r="D68" s="140">
        <f ca="1">Energieproduktion!D19</f>
        <v>70.502386203942436</v>
      </c>
      <c r="E68" s="125" t="str">
        <f>Energieproduktion!E19</f>
        <v>[kWhel d-1]</v>
      </c>
    </row>
    <row r="69" spans="1:11">
      <c r="A69" s="125" t="str">
        <f>Energieproduktion!A20</f>
        <v>Stromertrag pro Jahr</v>
      </c>
      <c r="B69" s="140">
        <f>Energieproduktion!B20</f>
        <v>47.210160361814921</v>
      </c>
      <c r="C69" s="140">
        <f ca="1">Energieproduktion!C20</f>
        <v>21.459163800824975</v>
      </c>
      <c r="D69" s="140">
        <f ca="1">Energieproduktion!D20</f>
        <v>25.750996560989972</v>
      </c>
      <c r="E69" s="125" t="str">
        <f>Energieproduktion!E20</f>
        <v>[MWhel a-1]</v>
      </c>
    </row>
    <row r="70" spans="1:11" ht="4.5" customHeight="1">
      <c r="B70" s="174"/>
      <c r="C70" s="174"/>
      <c r="D70" s="174"/>
    </row>
    <row r="71" spans="1:11">
      <c r="A71" s="125" t="str">
        <f>Energieproduktion!A22</f>
        <v>Wärmeertrag pro Stunde</v>
      </c>
      <c r="B71" s="140">
        <f>Energieproduktion!B22</f>
        <v>6.9652912916347223</v>
      </c>
      <c r="C71" s="140">
        <f ca="1">Energieproduktion!C22</f>
        <v>3.1660414961976024</v>
      </c>
      <c r="D71" s="140">
        <f ca="1">Energieproduktion!D22</f>
        <v>3.7992497954371234</v>
      </c>
      <c r="E71" s="125" t="str">
        <f>Energieproduktion!E22</f>
        <v>[kWhth h-1]</v>
      </c>
    </row>
    <row r="72" spans="1:11">
      <c r="A72" s="125" t="str">
        <f>Energieproduktion!A23</f>
        <v>Wärmeertrag pro Tag</v>
      </c>
      <c r="B72" s="140">
        <f>Energieproduktion!B23</f>
        <v>167.16699099923335</v>
      </c>
      <c r="C72" s="140">
        <f ca="1">Energieproduktion!C23</f>
        <v>75.984995908742462</v>
      </c>
      <c r="D72" s="140">
        <f ca="1">Energieproduktion!D23</f>
        <v>91.181995090490972</v>
      </c>
      <c r="E72" s="125" t="str">
        <f>Energieproduktion!E23</f>
        <v>[kWhth d-1]</v>
      </c>
    </row>
    <row r="73" spans="1:11">
      <c r="A73" s="125" t="str">
        <f>Energieproduktion!A24</f>
        <v>Wärmeertrag pro Jahr</v>
      </c>
      <c r="B73" s="140">
        <f>Energieproduktion!B24</f>
        <v>61.057743462469979</v>
      </c>
      <c r="C73" s="140">
        <f ca="1">Energieproduktion!C24</f>
        <v>27.753519755668187</v>
      </c>
      <c r="D73" s="140">
        <f ca="1">Energieproduktion!D24</f>
        <v>33.304223706801828</v>
      </c>
      <c r="E73" s="125" t="str">
        <f>Energieproduktion!E24</f>
        <v>[MWhth a-1]</v>
      </c>
    </row>
    <row r="74" spans="1:11" ht="4.5" customHeight="1">
      <c r="B74" s="174"/>
      <c r="C74" s="174"/>
      <c r="D74" s="174"/>
    </row>
    <row r="75" spans="1:11">
      <c r="A75" s="125" t="str">
        <f>Energieproduktion!A26</f>
        <v>Leistung im Biogas</v>
      </c>
      <c r="B75" s="140">
        <f>Energieproduktion!B26</f>
        <v>14.555672827390509</v>
      </c>
      <c r="C75" s="140">
        <f ca="1">Energieproduktion!C26</f>
        <v>6.6162149215411432</v>
      </c>
      <c r="D75" s="140">
        <f ca="1">Energieproduktion!D26</f>
        <v>7.9394579058493733</v>
      </c>
      <c r="E75" s="125" t="str">
        <f>Energieproduktion!E26</f>
        <v>[kW]</v>
      </c>
    </row>
    <row r="76" spans="1:11">
      <c r="A76" s="125" t="str">
        <f>Energieproduktion!A27</f>
        <v>Leistung elektrisch</v>
      </c>
      <c r="B76" s="140">
        <f>Energieproduktion!B27</f>
        <v>5.385598946134488</v>
      </c>
      <c r="C76" s="140">
        <f ca="1">Energieproduktion!C27</f>
        <v>2.4479995209702228</v>
      </c>
      <c r="D76" s="140">
        <f ca="1">Energieproduktion!D27</f>
        <v>2.9375994251642679</v>
      </c>
      <c r="E76" s="125" t="str">
        <f>Energieproduktion!E27</f>
        <v>[kW]</v>
      </c>
    </row>
    <row r="77" spans="1:11">
      <c r="A77" s="125" t="str">
        <f>Energieproduktion!A28</f>
        <v>Leistung thermisch</v>
      </c>
      <c r="B77" s="140">
        <f>Energieproduktion!B28</f>
        <v>6.9652912916347223</v>
      </c>
      <c r="C77" s="140">
        <f ca="1">Energieproduktion!C28</f>
        <v>3.1660414961976024</v>
      </c>
      <c r="D77" s="140">
        <f ca="1">Energieproduktion!D28</f>
        <v>3.7992497954371234</v>
      </c>
      <c r="E77" s="125" t="str">
        <f>Energieproduktion!E28</f>
        <v>[kW]</v>
      </c>
    </row>
    <row r="79" spans="1:11" s="9" customFormat="1" ht="18" thickBot="1">
      <c r="A79" s="42" t="s">
        <v>157</v>
      </c>
      <c r="B79" s="42"/>
      <c r="C79" s="42"/>
      <c r="D79" s="42"/>
      <c r="E79" s="42"/>
      <c r="F79" s="42"/>
      <c r="G79" s="42"/>
      <c r="H79" s="42"/>
      <c r="I79" s="42"/>
      <c r="J79" s="42"/>
      <c r="K79"/>
    </row>
    <row r="80" spans="1:11" s="9" customFormat="1" ht="15.75" thickTop="1">
      <c r="B80"/>
      <c r="C80"/>
      <c r="D80"/>
      <c r="E80"/>
      <c r="F80"/>
      <c r="G80"/>
      <c r="H80"/>
      <c r="I80"/>
      <c r="J80"/>
      <c r="K80"/>
    </row>
    <row r="81" spans="1:2" ht="18">
      <c r="A81" s="86" t="s">
        <v>158</v>
      </c>
      <c r="B81" s="86" t="s">
        <v>159</v>
      </c>
    </row>
    <row r="82" spans="1:2">
      <c r="A82" s="125" t="s">
        <v>29</v>
      </c>
      <c r="B82" s="141">
        <f>B65*Anlagendaten!B34*1000</f>
        <v>0</v>
      </c>
    </row>
    <row r="83" spans="1:2">
      <c r="A83" s="125" t="s">
        <v>130</v>
      </c>
      <c r="B83" s="141">
        <f>B69*(1-Anlagendaten!B31/100)*Anlagendaten!B35*1000</f>
        <v>0</v>
      </c>
    </row>
    <row r="84" spans="1:2">
      <c r="A84" s="125" t="s">
        <v>133</v>
      </c>
      <c r="B84" s="141">
        <f>B73*Anlagendaten!B36*1000</f>
        <v>0</v>
      </c>
    </row>
  </sheetData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BD29-9BF4-4D04-8878-7BC75ED86632}">
  <sheetPr>
    <tabColor theme="9"/>
  </sheetPr>
  <dimension ref="A1:E38"/>
  <sheetViews>
    <sheetView zoomScale="70" zoomScaleNormal="70" zoomScalePageLayoutView="70" workbookViewId="0">
      <pane ySplit="2" topLeftCell="A18" activePane="bottomLeft" state="frozen"/>
      <selection pane="bottomLeft" activeCell="A27" sqref="A27"/>
    </sheetView>
  </sheetViews>
  <sheetFormatPr defaultColWidth="11.42578125" defaultRowHeight="15"/>
  <cols>
    <col min="1" max="1" width="45.140625" customWidth="1"/>
    <col min="2" max="2" width="16.5703125" bestFit="1" customWidth="1"/>
    <col min="3" max="3" width="16.42578125" bestFit="1" customWidth="1"/>
    <col min="4" max="4" width="14.7109375" bestFit="1" customWidth="1"/>
    <col min="5" max="5" width="64.7109375" bestFit="1" customWidth="1"/>
    <col min="6" max="6" width="10.42578125" bestFit="1" customWidth="1"/>
    <col min="7" max="7" width="14.7109375" bestFit="1" customWidth="1"/>
    <col min="8" max="8" width="15.42578125" bestFit="1" customWidth="1"/>
    <col min="9" max="9" width="22.140625" bestFit="1" customWidth="1"/>
    <col min="10" max="11" width="16.140625" bestFit="1" customWidth="1"/>
    <col min="12" max="12" width="15.85546875" bestFit="1" customWidth="1"/>
  </cols>
  <sheetData>
    <row r="1" spans="1:5" ht="45" customHeight="1">
      <c r="A1" s="26"/>
      <c r="B1" s="26"/>
      <c r="D1" s="20"/>
      <c r="E1" s="20"/>
    </row>
    <row r="2" spans="1:5" ht="20.25" thickBot="1">
      <c r="A2" s="24" t="s">
        <v>160</v>
      </c>
      <c r="B2" s="24"/>
      <c r="C2" s="24"/>
      <c r="D2" s="24"/>
      <c r="E2" s="24"/>
    </row>
    <row r="3" spans="1:5" ht="15.75" thickTop="1"/>
    <row r="4" spans="1:5" ht="18" thickBot="1">
      <c r="A4" s="42" t="s">
        <v>122</v>
      </c>
      <c r="B4" s="42" t="s">
        <v>161</v>
      </c>
      <c r="C4" s="42" t="s">
        <v>162</v>
      </c>
      <c r="D4" s="42"/>
      <c r="E4" s="42"/>
    </row>
    <row r="5" spans="1:5" ht="18.75" thickTop="1" thickBot="1">
      <c r="A5" t="s">
        <v>163</v>
      </c>
      <c r="B5" s="65">
        <f>'Kennwerte Massenflüsse'!E59</f>
        <v>21334.107143677316</v>
      </c>
      <c r="C5" s="66">
        <f>Anlagendaten!B29</f>
        <v>0</v>
      </c>
      <c r="D5" s="5" t="s">
        <v>124</v>
      </c>
      <c r="E5" s="51" t="s">
        <v>164</v>
      </c>
    </row>
    <row r="6" spans="1:5" ht="18.75" thickTop="1" thickBot="1">
      <c r="A6" t="s">
        <v>165</v>
      </c>
      <c r="B6" s="65">
        <f>'Kennwerte Massenflüsse'!I59</f>
        <v>12800.464286206392</v>
      </c>
      <c r="C6" s="66">
        <f>Anlagendaten!B30</f>
        <v>0</v>
      </c>
      <c r="D6" s="5" t="s">
        <v>124</v>
      </c>
      <c r="E6" s="51" t="s">
        <v>164</v>
      </c>
    </row>
    <row r="7" spans="1:5" ht="18.75" thickTop="1" thickBot="1">
      <c r="A7" t="s">
        <v>130</v>
      </c>
      <c r="B7" s="65">
        <f>'Kennwerte Massenflüsse'!B69*(1-Anlagendaten!B31/100)</f>
        <v>47.210160361814921</v>
      </c>
      <c r="C7" s="66">
        <f>Anlagendaten!B32</f>
        <v>0</v>
      </c>
      <c r="D7" s="5" t="s">
        <v>131</v>
      </c>
      <c r="E7" s="51" t="s">
        <v>164</v>
      </c>
    </row>
    <row r="8" spans="1:5" ht="15.75" thickTop="1">
      <c r="D8" s="1"/>
      <c r="E8" s="51"/>
    </row>
    <row r="9" spans="1:5" ht="18" thickBot="1">
      <c r="A9" s="42" t="s">
        <v>166</v>
      </c>
      <c r="B9" s="42"/>
      <c r="C9" s="42"/>
      <c r="D9" s="42"/>
      <c r="E9" s="42"/>
    </row>
    <row r="10" spans="1:5" ht="16.5" thickTop="1" thickBot="1">
      <c r="A10" t="s">
        <v>167</v>
      </c>
      <c r="B10" s="175">
        <f>Verweilzeit!B11</f>
        <v>45.485678704856781</v>
      </c>
      <c r="D10" s="5" t="s">
        <v>168</v>
      </c>
      <c r="E10" s="51"/>
    </row>
    <row r="11" spans="1:5" ht="15.75" thickTop="1">
      <c r="D11" s="1"/>
      <c r="E11" s="51"/>
    </row>
    <row r="12" spans="1:5" ht="18" thickBot="1">
      <c r="A12" s="42" t="s">
        <v>169</v>
      </c>
      <c r="B12" s="42"/>
      <c r="C12" s="42"/>
      <c r="D12" s="42"/>
      <c r="E12" s="42"/>
    </row>
    <row r="13" spans="1:5" ht="16.5" thickTop="1" thickBot="1">
      <c r="A13" t="s">
        <v>170</v>
      </c>
      <c r="B13" s="175">
        <f>Verweilzeit!B14</f>
        <v>136.45703611457034</v>
      </c>
      <c r="D13" s="5" t="s">
        <v>168</v>
      </c>
      <c r="E13" s="51"/>
    </row>
    <row r="14" spans="1:5" ht="15.75" thickTop="1">
      <c r="D14" s="1"/>
    </row>
    <row r="15" spans="1:5" ht="19.5" thickBot="1">
      <c r="A15" s="42" t="s">
        <v>171</v>
      </c>
      <c r="B15" s="42"/>
      <c r="C15" s="42"/>
      <c r="D15" s="42"/>
      <c r="E15" s="42"/>
    </row>
    <row r="16" spans="1:5" ht="20.25" thickTop="1" thickBot="1">
      <c r="A16" t="s">
        <v>172</v>
      </c>
      <c r="B16" s="175">
        <f>Raumbelastung!B11</f>
        <v>0.3097502422997947</v>
      </c>
      <c r="D16" s="5" t="s">
        <v>173</v>
      </c>
      <c r="E16" s="51"/>
    </row>
    <row r="17" spans="1:5" ht="15.75" thickTop="1"/>
    <row r="18" spans="1:5" ht="20.25" thickBot="1">
      <c r="A18" s="24" t="s">
        <v>174</v>
      </c>
      <c r="B18" s="24"/>
      <c r="C18" s="24"/>
      <c r="D18" s="24"/>
      <c r="E18" s="24"/>
    </row>
    <row r="19" spans="1:5" ht="15.75" thickTop="1"/>
    <row r="20" spans="1:5" ht="18" thickBot="1">
      <c r="A20" s="42" t="s">
        <v>175</v>
      </c>
      <c r="B20" s="42"/>
      <c r="C20" s="42"/>
      <c r="D20" s="42"/>
      <c r="E20" s="42"/>
    </row>
    <row r="21" spans="1:5" ht="15.75" thickTop="1">
      <c r="A21" t="s">
        <v>176</v>
      </c>
      <c r="E21" s="54" t="s">
        <v>177</v>
      </c>
    </row>
    <row r="22" spans="1:5">
      <c r="A22" t="s">
        <v>178</v>
      </c>
      <c r="E22" s="55" t="s">
        <v>179</v>
      </c>
    </row>
    <row r="23" spans="1:5">
      <c r="A23" t="s">
        <v>180</v>
      </c>
      <c r="E23" s="56" t="s">
        <v>181</v>
      </c>
    </row>
    <row r="24" spans="1:5">
      <c r="E24" s="1"/>
    </row>
    <row r="25" spans="1:5" ht="18" thickBot="1">
      <c r="A25" s="42" t="s">
        <v>166</v>
      </c>
      <c r="B25" s="42"/>
      <c r="C25" s="42"/>
      <c r="D25" s="42"/>
      <c r="E25" s="42"/>
    </row>
    <row r="26" spans="1:5" ht="15.75" thickTop="1">
      <c r="A26" t="s">
        <v>182</v>
      </c>
      <c r="E26" s="54" t="s">
        <v>183</v>
      </c>
    </row>
    <row r="27" spans="1:5">
      <c r="A27" t="s">
        <v>184</v>
      </c>
      <c r="E27" s="55" t="s">
        <v>185</v>
      </c>
    </row>
    <row r="28" spans="1:5">
      <c r="A28" t="s">
        <v>186</v>
      </c>
      <c r="E28" s="56" t="s">
        <v>187</v>
      </c>
    </row>
    <row r="29" spans="1:5">
      <c r="E29" s="1"/>
    </row>
    <row r="30" spans="1:5" ht="18" thickBot="1">
      <c r="A30" s="42" t="s">
        <v>169</v>
      </c>
      <c r="B30" s="42"/>
      <c r="C30" s="42"/>
      <c r="D30" s="42"/>
      <c r="E30" s="42"/>
    </row>
    <row r="31" spans="1:5" ht="15.75" thickTop="1">
      <c r="A31" t="s">
        <v>188</v>
      </c>
      <c r="E31" s="54" t="s">
        <v>189</v>
      </c>
    </row>
    <row r="32" spans="1:5">
      <c r="A32" t="s">
        <v>190</v>
      </c>
      <c r="E32" s="55" t="s">
        <v>191</v>
      </c>
    </row>
    <row r="33" spans="1:5">
      <c r="A33" t="s">
        <v>192</v>
      </c>
      <c r="E33" s="56" t="s">
        <v>193</v>
      </c>
    </row>
    <row r="34" spans="1:5">
      <c r="E34" s="1"/>
    </row>
    <row r="35" spans="1:5" ht="19.5" thickBot="1">
      <c r="A35" s="42" t="s">
        <v>171</v>
      </c>
      <c r="B35" s="42"/>
      <c r="C35" s="42"/>
      <c r="D35" s="42"/>
      <c r="E35" s="42"/>
    </row>
    <row r="36" spans="1:5" ht="19.5" thickTop="1">
      <c r="A36" t="s">
        <v>194</v>
      </c>
      <c r="E36" s="54" t="s">
        <v>195</v>
      </c>
    </row>
    <row r="37" spans="1:5" ht="18.75">
      <c r="A37" t="s">
        <v>196</v>
      </c>
      <c r="E37" s="55" t="s">
        <v>197</v>
      </c>
    </row>
    <row r="38" spans="1:5" ht="18.75">
      <c r="A38" t="s">
        <v>198</v>
      </c>
      <c r="E38" s="56" t="s">
        <v>199</v>
      </c>
    </row>
  </sheetData>
  <phoneticPr fontId="41" type="noConversion"/>
  <dataValidations count="1">
    <dataValidation type="decimal" operator="greaterThanOrEqual" allowBlank="1" showInputMessage="1" showErrorMessage="1" sqref="C5:C7" xr:uid="{D1CF00F9-ACD1-40E0-95FE-859DF448DC37}">
      <formula1>0</formula1>
    </dataValidation>
  </dataValidations>
  <pageMargins left="0.7" right="0.7" top="0.78740157499999996" bottom="0.85144927536231885" header="0.3" footer="0.3"/>
  <pageSetup paperSize="9" orientation="landscape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4322-694E-42BC-B4FF-81C8FD826407}">
  <sheetPr>
    <tabColor theme="4"/>
  </sheetPr>
  <dimension ref="A1:V103"/>
  <sheetViews>
    <sheetView zoomScaleNormal="100" workbookViewId="0">
      <pane xSplit="1" ySplit="12" topLeftCell="C13" activePane="bottomRight" state="frozen"/>
      <selection pane="bottomRight" activeCell="C96" sqref="C96"/>
      <selection pane="bottomLeft" activeCell="A9" sqref="A9"/>
      <selection pane="topRight" activeCell="C1" sqref="C1"/>
    </sheetView>
  </sheetViews>
  <sheetFormatPr defaultColWidth="11.42578125" defaultRowHeight="15"/>
  <cols>
    <col min="1" max="1" width="43.42578125" customWidth="1"/>
    <col min="2" max="2" width="31.85546875" hidden="1" customWidth="1"/>
    <col min="3" max="19" width="13.42578125" customWidth="1"/>
    <col min="20" max="20" width="18.28515625" bestFit="1" customWidth="1"/>
    <col min="21" max="21" width="13.42578125" customWidth="1"/>
    <col min="22" max="22" width="27.28515625" bestFit="1" customWidth="1"/>
  </cols>
  <sheetData>
    <row r="1" spans="1:22" ht="45" customHeight="1">
      <c r="A1" s="26"/>
      <c r="C1" s="20"/>
      <c r="D1" s="20"/>
      <c r="E1" s="6"/>
      <c r="F1" s="4"/>
      <c r="G1" s="20"/>
      <c r="H1" s="3"/>
    </row>
    <row r="2" spans="1:22" ht="20.25" thickBot="1">
      <c r="A2" s="24" t="s">
        <v>200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6.5" thickTop="1" thickBot="1"/>
    <row r="4" spans="1:22" s="1" customFormat="1" ht="19.5" thickTop="1">
      <c r="A4" s="86" t="s">
        <v>201</v>
      </c>
      <c r="B4" s="86" t="s">
        <v>202</v>
      </c>
      <c r="C4" s="86" t="s">
        <v>7</v>
      </c>
      <c r="D4" s="86" t="s">
        <v>10</v>
      </c>
      <c r="E4" s="86" t="s">
        <v>203</v>
      </c>
      <c r="F4" s="86" t="s">
        <v>204</v>
      </c>
      <c r="G4" s="86" t="s">
        <v>205</v>
      </c>
      <c r="H4" s="86" t="s">
        <v>206</v>
      </c>
      <c r="I4" s="86" t="s">
        <v>207</v>
      </c>
      <c r="J4" s="86" t="s">
        <v>208</v>
      </c>
      <c r="K4" s="86" t="s">
        <v>209</v>
      </c>
      <c r="L4" s="123" t="s">
        <v>145</v>
      </c>
      <c r="M4" s="86" t="s">
        <v>22</v>
      </c>
      <c r="N4" s="86" t="s">
        <v>22</v>
      </c>
      <c r="O4" s="86" t="s">
        <v>210</v>
      </c>
      <c r="P4" s="86" t="s">
        <v>145</v>
      </c>
      <c r="Q4" s="86" t="s">
        <v>211</v>
      </c>
      <c r="R4" s="86" t="s">
        <v>212</v>
      </c>
      <c r="S4" s="86" t="s">
        <v>213</v>
      </c>
      <c r="T4" s="86" t="s">
        <v>24</v>
      </c>
      <c r="U4" s="86" t="s">
        <v>214</v>
      </c>
      <c r="V4" s="86" t="s">
        <v>24</v>
      </c>
    </row>
    <row r="5" spans="1:22" ht="17.25">
      <c r="A5" s="95"/>
      <c r="B5" s="95"/>
      <c r="C5" s="95" t="s">
        <v>128</v>
      </c>
      <c r="D5" s="95" t="s">
        <v>128</v>
      </c>
      <c r="E5" s="95" t="s">
        <v>109</v>
      </c>
      <c r="F5" s="95" t="s">
        <v>128</v>
      </c>
      <c r="G5" s="95" t="s">
        <v>128</v>
      </c>
      <c r="H5" s="95" t="s">
        <v>109</v>
      </c>
      <c r="I5" s="95" t="s">
        <v>128</v>
      </c>
      <c r="J5" s="95" t="s">
        <v>109</v>
      </c>
      <c r="K5" s="95" t="s">
        <v>153</v>
      </c>
      <c r="L5" s="95" t="s">
        <v>153</v>
      </c>
      <c r="M5" s="95" t="s">
        <v>153</v>
      </c>
      <c r="N5" s="95" t="s">
        <v>128</v>
      </c>
      <c r="O5" s="95" t="s">
        <v>109</v>
      </c>
      <c r="P5" s="95" t="s">
        <v>215</v>
      </c>
      <c r="Q5" s="95" t="s">
        <v>216</v>
      </c>
      <c r="R5" s="95" t="s">
        <v>168</v>
      </c>
      <c r="S5" s="95" t="s">
        <v>168</v>
      </c>
      <c r="T5" s="95"/>
      <c r="U5" s="95" t="s">
        <v>109</v>
      </c>
      <c r="V5" s="95"/>
    </row>
    <row r="6" spans="1:22">
      <c r="A6" s="87" t="s">
        <v>217</v>
      </c>
      <c r="B6" s="88"/>
      <c r="C6" s="89">
        <f t="shared" ref="C6:S6" si="0">AVERAGE(C13:C80)</f>
        <v>29.376567164179107</v>
      </c>
      <c r="D6" s="89">
        <f t="shared" si="0"/>
        <v>27.802923076923076</v>
      </c>
      <c r="E6" s="90">
        <f t="shared" si="0"/>
        <v>0.86974963927978532</v>
      </c>
      <c r="F6" s="89">
        <f t="shared" si="0"/>
        <v>45.190483870967739</v>
      </c>
      <c r="G6" s="89">
        <f t="shared" si="0"/>
        <v>6.3012903225806456</v>
      </c>
      <c r="H6" s="90">
        <f t="shared" si="0"/>
        <v>7.2126645138450796</v>
      </c>
      <c r="I6" s="89">
        <f t="shared" si="0"/>
        <v>2.3898387096774201</v>
      </c>
      <c r="J6" s="89">
        <f t="shared" si="0"/>
        <v>25.634838709677418</v>
      </c>
      <c r="K6" s="91">
        <f t="shared" si="0"/>
        <v>543.1875</v>
      </c>
      <c r="L6" s="91">
        <f t="shared" si="0"/>
        <v>354.86147058823542</v>
      </c>
      <c r="M6" s="89">
        <f t="shared" si="0"/>
        <v>14.514615384615384</v>
      </c>
      <c r="N6" s="89">
        <f t="shared" si="0"/>
        <v>4.0998072957488779E-2</v>
      </c>
      <c r="O6" s="90">
        <f t="shared" si="0"/>
        <v>0.66984374999999996</v>
      </c>
      <c r="P6" s="89">
        <f t="shared" si="0"/>
        <v>107.72730378461537</v>
      </c>
      <c r="Q6" s="90">
        <f t="shared" si="0"/>
        <v>0.14813846153846158</v>
      </c>
      <c r="R6" s="89">
        <f t="shared" si="0"/>
        <v>1.4687692307692315</v>
      </c>
      <c r="S6" s="89">
        <f t="shared" si="0"/>
        <v>6.1743076923076936</v>
      </c>
      <c r="T6" s="88"/>
      <c r="U6" s="90">
        <f>AVERAGE(U13:U80)</f>
        <v>0.57984615384615401</v>
      </c>
      <c r="V6" s="88"/>
    </row>
    <row r="7" spans="1:22">
      <c r="A7" s="87" t="s">
        <v>218</v>
      </c>
      <c r="B7" s="88"/>
      <c r="C7" s="89">
        <f t="shared" ref="C7:S7" si="1">_xlfn.STDEV.S(C13:C80)</f>
        <v>25.920856674970452</v>
      </c>
      <c r="D7" s="89">
        <f t="shared" si="1"/>
        <v>24.784808459712085</v>
      </c>
      <c r="E7" s="90">
        <f t="shared" si="1"/>
        <v>9.552931166847807E-2</v>
      </c>
      <c r="F7" s="89">
        <f t="shared" si="1"/>
        <v>6.2066533384482394</v>
      </c>
      <c r="G7" s="89">
        <f t="shared" si="1"/>
        <v>1.0776408414604077</v>
      </c>
      <c r="H7" s="90">
        <f t="shared" si="1"/>
        <v>0.4434880873126037</v>
      </c>
      <c r="I7" s="89">
        <f t="shared" si="1"/>
        <v>1.2417960181157541</v>
      </c>
      <c r="J7" s="89">
        <f t="shared" si="1"/>
        <v>16.675509158981139</v>
      </c>
      <c r="K7" s="91">
        <f t="shared" si="1"/>
        <v>126.8556078306956</v>
      </c>
      <c r="L7" s="91">
        <f t="shared" si="1"/>
        <v>138.36888501787041</v>
      </c>
      <c r="M7" s="89">
        <f t="shared" si="1"/>
        <v>14.565941018018183</v>
      </c>
      <c r="N7" s="89">
        <f t="shared" si="1"/>
        <v>3.1232847577522257E-2</v>
      </c>
      <c r="O7" s="90">
        <f t="shared" si="1"/>
        <v>0.21098026829803559</v>
      </c>
      <c r="P7" s="89">
        <f t="shared" si="1"/>
        <v>128.92280567034581</v>
      </c>
      <c r="Q7" s="90">
        <f t="shared" si="1"/>
        <v>4.9602758530611225E-2</v>
      </c>
      <c r="R7" s="89">
        <f t="shared" si="1"/>
        <v>1.5341411560017739</v>
      </c>
      <c r="S7" s="89">
        <f t="shared" si="1"/>
        <v>2.75486102713842</v>
      </c>
      <c r="T7" s="88"/>
      <c r="U7" s="89">
        <f>_xlfn.STDEV.S(U13:U80)</f>
        <v>4.4458277761722398E-2</v>
      </c>
      <c r="V7" s="88"/>
    </row>
    <row r="8" spans="1:22">
      <c r="A8" s="87" t="s">
        <v>219</v>
      </c>
      <c r="B8" s="88"/>
      <c r="C8" s="92">
        <f>C7/C6</f>
        <v>0.88236506771211698</v>
      </c>
      <c r="D8" s="92">
        <f t="shared" ref="D8:S8" si="2">D7/D6</f>
        <v>0.8914461400745276</v>
      </c>
      <c r="E8" s="92">
        <f t="shared" si="2"/>
        <v>0.10983541395611632</v>
      </c>
      <c r="F8" s="92">
        <f t="shared" si="2"/>
        <v>0.13734425495797034</v>
      </c>
      <c r="G8" s="92">
        <f t="shared" si="2"/>
        <v>0.17101907487085408</v>
      </c>
      <c r="H8" s="92">
        <f t="shared" si="2"/>
        <v>6.1487413765232743E-2</v>
      </c>
      <c r="I8" s="92">
        <f t="shared" si="2"/>
        <v>0.51961499037036329</v>
      </c>
      <c r="J8" s="92">
        <f t="shared" si="2"/>
        <v>0.65050181699352616</v>
      </c>
      <c r="K8" s="92">
        <f t="shared" si="2"/>
        <v>0.23353926191360369</v>
      </c>
      <c r="L8" s="92">
        <f t="shared" si="2"/>
        <v>0.3899236645457832</v>
      </c>
      <c r="M8" s="92">
        <f t="shared" si="2"/>
        <v>1.0035361345817817</v>
      </c>
      <c r="N8" s="92">
        <f t="shared" si="2"/>
        <v>0.76181257616444165</v>
      </c>
      <c r="O8" s="92">
        <f t="shared" si="2"/>
        <v>0.31496937651211288</v>
      </c>
      <c r="P8" s="92">
        <f t="shared" si="2"/>
        <v>1.1967514375752657</v>
      </c>
      <c r="Q8" s="92">
        <f t="shared" si="2"/>
        <v>0.33484051349981603</v>
      </c>
      <c r="R8" s="92">
        <f t="shared" si="2"/>
        <v>1.0445079620835367</v>
      </c>
      <c r="S8" s="92">
        <f t="shared" si="2"/>
        <v>0.44618136387510843</v>
      </c>
      <c r="T8" s="88"/>
      <c r="U8" s="92">
        <f t="shared" ref="U8" si="3">U7/U6</f>
        <v>7.6672540581373183E-2</v>
      </c>
      <c r="V8" s="88"/>
    </row>
    <row r="9" spans="1:22">
      <c r="A9" s="87" t="s">
        <v>220</v>
      </c>
      <c r="B9" s="88"/>
      <c r="C9" s="89">
        <f t="shared" ref="C9:S9" si="4">MIN(C13:C80)</f>
        <v>1.5</v>
      </c>
      <c r="D9" s="89">
        <f t="shared" si="4"/>
        <v>3.09</v>
      </c>
      <c r="E9" s="90">
        <f t="shared" si="4"/>
        <v>0.55590452261306533</v>
      </c>
      <c r="F9" s="89">
        <f t="shared" si="4"/>
        <v>24.9</v>
      </c>
      <c r="G9" s="89">
        <f t="shared" si="4"/>
        <v>4.0999999999999996</v>
      </c>
      <c r="H9" s="90">
        <f t="shared" si="4"/>
        <v>6.0731707317073171</v>
      </c>
      <c r="I9" s="89">
        <f t="shared" si="4"/>
        <v>0.55000000000000004</v>
      </c>
      <c r="J9" s="89">
        <f t="shared" si="4"/>
        <v>5.41</v>
      </c>
      <c r="K9" s="89">
        <f t="shared" si="4"/>
        <v>330</v>
      </c>
      <c r="L9" s="89">
        <f t="shared" si="4"/>
        <v>99.29</v>
      </c>
      <c r="M9" s="89">
        <f t="shared" si="4"/>
        <v>1.71</v>
      </c>
      <c r="N9" s="89">
        <f t="shared" si="4"/>
        <v>7.8540078540078537E-3</v>
      </c>
      <c r="O9" s="90">
        <f t="shared" si="4"/>
        <v>0.26</v>
      </c>
      <c r="P9" s="89">
        <f t="shared" si="4"/>
        <v>4.1304640000000008</v>
      </c>
      <c r="Q9" s="90">
        <f t="shared" si="4"/>
        <v>0.05</v>
      </c>
      <c r="R9" s="89">
        <f t="shared" si="4"/>
        <v>0</v>
      </c>
      <c r="S9" s="89">
        <f t="shared" si="4"/>
        <v>2.3199999999999998</v>
      </c>
      <c r="T9" s="88"/>
      <c r="U9" s="90">
        <f>MIN(U13:U80)</f>
        <v>0.51</v>
      </c>
      <c r="V9" s="88"/>
    </row>
    <row r="10" spans="1:22">
      <c r="A10" s="87" t="s">
        <v>221</v>
      </c>
      <c r="B10" s="88"/>
      <c r="C10" s="89">
        <f t="shared" ref="C10:S10" si="5">MAX(C13:C80)</f>
        <v>99.9</v>
      </c>
      <c r="D10" s="89">
        <f t="shared" si="5"/>
        <v>99.12</v>
      </c>
      <c r="E10" s="90">
        <f t="shared" si="5"/>
        <v>0.99219219219219223</v>
      </c>
      <c r="F10" s="89">
        <f t="shared" si="5"/>
        <v>65.099999999999994</v>
      </c>
      <c r="G10" s="89">
        <f t="shared" si="5"/>
        <v>10.3</v>
      </c>
      <c r="H10" s="90">
        <f t="shared" si="5"/>
        <v>8.3835616438356162</v>
      </c>
      <c r="I10" s="89">
        <f t="shared" si="5"/>
        <v>6.36</v>
      </c>
      <c r="J10" s="89">
        <f t="shared" si="5"/>
        <v>80.7</v>
      </c>
      <c r="K10" s="89">
        <f t="shared" si="5"/>
        <v>986</v>
      </c>
      <c r="L10" s="91">
        <f t="shared" si="5"/>
        <v>804.61</v>
      </c>
      <c r="M10" s="89">
        <f t="shared" si="5"/>
        <v>76.709999999999994</v>
      </c>
      <c r="N10" s="89">
        <f t="shared" si="5"/>
        <v>0.12961711331147982</v>
      </c>
      <c r="O10" s="90">
        <f t="shared" si="5"/>
        <v>0.97</v>
      </c>
      <c r="P10" s="89">
        <f t="shared" si="5"/>
        <v>797.52943200000004</v>
      </c>
      <c r="Q10" s="90">
        <f t="shared" si="5"/>
        <v>0.28999999999999998</v>
      </c>
      <c r="R10" s="89">
        <f t="shared" si="5"/>
        <v>7.56</v>
      </c>
      <c r="S10" s="89">
        <f t="shared" si="5"/>
        <v>15.88</v>
      </c>
      <c r="T10" s="88"/>
      <c r="U10" s="90">
        <f>MAX(U13:U80)</f>
        <v>0.68</v>
      </c>
      <c r="V10" s="88"/>
    </row>
    <row r="11" spans="1:22">
      <c r="A11" s="87" t="s">
        <v>222</v>
      </c>
      <c r="B11" s="88"/>
      <c r="C11" s="89">
        <f t="shared" ref="C11:S11" si="6">_xlfn.QUARTILE.EXC(C13:C80,1)</f>
        <v>9.1</v>
      </c>
      <c r="D11" s="89">
        <f t="shared" si="6"/>
        <v>9.42</v>
      </c>
      <c r="E11" s="90">
        <f t="shared" si="6"/>
        <v>0.8</v>
      </c>
      <c r="F11" s="89">
        <f t="shared" si="6"/>
        <v>42.379999999999995</v>
      </c>
      <c r="G11" s="89">
        <f t="shared" si="6"/>
        <v>5.77</v>
      </c>
      <c r="H11" s="90">
        <f t="shared" si="6"/>
        <v>6.9811131006706084</v>
      </c>
      <c r="I11" s="89">
        <f t="shared" si="6"/>
        <v>1.4375</v>
      </c>
      <c r="J11" s="89">
        <f t="shared" si="6"/>
        <v>14.540000000000001</v>
      </c>
      <c r="K11" s="89">
        <f t="shared" si="6"/>
        <v>469</v>
      </c>
      <c r="L11" s="91">
        <f t="shared" si="6"/>
        <v>250.64500000000001</v>
      </c>
      <c r="M11" s="89">
        <f t="shared" si="6"/>
        <v>6.1099999999999994</v>
      </c>
      <c r="N11" s="89">
        <f t="shared" si="6"/>
        <v>1.7416844316840652E-2</v>
      </c>
      <c r="O11" s="90">
        <f t="shared" si="6"/>
        <v>0.48749999999999999</v>
      </c>
      <c r="P11" s="89">
        <f t="shared" si="6"/>
        <v>34.152558999999997</v>
      </c>
      <c r="Q11" s="90">
        <f t="shared" si="6"/>
        <v>0.11</v>
      </c>
      <c r="R11" s="89">
        <f t="shared" si="6"/>
        <v>0.4</v>
      </c>
      <c r="S11" s="89">
        <f t="shared" si="6"/>
        <v>4.3250000000000002</v>
      </c>
      <c r="T11" s="88"/>
      <c r="U11" s="90">
        <f>_xlfn.QUARTILE.EXC(U13:U80,1)</f>
        <v>0.55000000000000004</v>
      </c>
      <c r="V11" s="88"/>
    </row>
    <row r="12" spans="1:22">
      <c r="A12" s="87" t="s">
        <v>223</v>
      </c>
      <c r="B12" s="88"/>
      <c r="C12" s="89">
        <f t="shared" ref="C12:S12" si="7">_xlfn.QUARTILE.EXC(C13:C80,3)</f>
        <v>33.479999999999997</v>
      </c>
      <c r="D12" s="89">
        <f t="shared" si="7"/>
        <v>31.07</v>
      </c>
      <c r="E12" s="90">
        <f t="shared" si="7"/>
        <v>0.94037537193865883</v>
      </c>
      <c r="F12" s="89">
        <f t="shared" si="7"/>
        <v>48.230000000000004</v>
      </c>
      <c r="G12" s="89">
        <f t="shared" si="7"/>
        <v>6.8125</v>
      </c>
      <c r="H12" s="90">
        <f t="shared" si="7"/>
        <v>7.4690874259839779</v>
      </c>
      <c r="I12" s="89">
        <f t="shared" si="7"/>
        <v>3.02</v>
      </c>
      <c r="J12" s="89">
        <f t="shared" si="7"/>
        <v>30.482500000000002</v>
      </c>
      <c r="K12" s="89">
        <f t="shared" si="7"/>
        <v>591.5</v>
      </c>
      <c r="L12" s="91">
        <f t="shared" si="7"/>
        <v>413.32749999999999</v>
      </c>
      <c r="M12" s="89">
        <f t="shared" si="7"/>
        <v>17.545000000000002</v>
      </c>
      <c r="N12" s="89">
        <f t="shared" si="7"/>
        <v>6.0500504247819852E-2</v>
      </c>
      <c r="O12" s="90">
        <f t="shared" si="7"/>
        <v>0.84</v>
      </c>
      <c r="P12" s="89">
        <f t="shared" si="7"/>
        <v>128.06410949999997</v>
      </c>
      <c r="Q12" s="90">
        <f t="shared" si="7"/>
        <v>0.17499999999999999</v>
      </c>
      <c r="R12" s="89">
        <f t="shared" si="7"/>
        <v>2.12</v>
      </c>
      <c r="S12" s="89">
        <f t="shared" si="7"/>
        <v>7.875</v>
      </c>
      <c r="T12" s="88"/>
      <c r="U12" s="90">
        <f>_xlfn.QUARTILE.EXC(U13:U80,3)</f>
        <v>0.62</v>
      </c>
      <c r="V12" s="88"/>
    </row>
    <row r="13" spans="1:22">
      <c r="A13" s="93" t="s">
        <v>224</v>
      </c>
      <c r="B13" s="77" t="s">
        <v>225</v>
      </c>
      <c r="C13" s="78">
        <v>66.19</v>
      </c>
      <c r="D13" s="78">
        <v>63.59</v>
      </c>
      <c r="E13" s="2">
        <f t="shared" ref="E13:E20" si="8">D13/C13</f>
        <v>0.96071914186433005</v>
      </c>
      <c r="F13" s="3">
        <v>45.07</v>
      </c>
      <c r="G13" s="78">
        <v>6.27</v>
      </c>
      <c r="H13" s="78">
        <f t="shared" ref="H13:H18" si="9">F13/G13</f>
        <v>7.1881977671451365</v>
      </c>
      <c r="I13" s="78">
        <v>2.61</v>
      </c>
      <c r="J13" s="78">
        <v>17.25</v>
      </c>
      <c r="K13" s="3">
        <v>472</v>
      </c>
      <c r="L13" s="3">
        <v>396.72</v>
      </c>
      <c r="M13" s="78">
        <v>7.53</v>
      </c>
      <c r="N13" s="79">
        <f t="shared" ref="N13:N20" si="10">M13/L13</f>
        <v>1.898064125831821E-2</v>
      </c>
      <c r="O13">
        <v>0.84</v>
      </c>
      <c r="P13" s="3">
        <f t="shared" ref="P13:P20" si="11">L13*D13/100</f>
        <v>252.27424800000006</v>
      </c>
      <c r="Q13" s="2">
        <v>0.22</v>
      </c>
      <c r="R13" s="78">
        <v>0.1</v>
      </c>
      <c r="S13" s="78">
        <v>3.22</v>
      </c>
      <c r="T13" s="80" t="s">
        <v>226</v>
      </c>
      <c r="U13" s="2">
        <v>0.53</v>
      </c>
      <c r="V13" s="80" t="s">
        <v>227</v>
      </c>
    </row>
    <row r="14" spans="1:22">
      <c r="A14" s="93" t="s">
        <v>228</v>
      </c>
      <c r="B14" s="77" t="s">
        <v>229</v>
      </c>
      <c r="C14" s="78">
        <v>45.72</v>
      </c>
      <c r="D14" s="78">
        <v>42.02</v>
      </c>
      <c r="E14" s="2">
        <f t="shared" si="8"/>
        <v>0.91907261592300971</v>
      </c>
      <c r="F14" s="3">
        <v>52.7</v>
      </c>
      <c r="G14" s="78">
        <v>8.1999999999999993</v>
      </c>
      <c r="H14" s="78">
        <f t="shared" si="9"/>
        <v>6.4268292682926838</v>
      </c>
      <c r="I14" s="78">
        <v>2.8</v>
      </c>
      <c r="J14" s="78">
        <v>18.82</v>
      </c>
      <c r="K14" s="3">
        <v>696</v>
      </c>
      <c r="L14" s="3">
        <v>529.23</v>
      </c>
      <c r="M14" s="78">
        <v>27.26</v>
      </c>
      <c r="N14" s="79">
        <f t="shared" si="10"/>
        <v>5.1508795797668309E-2</v>
      </c>
      <c r="O14">
        <v>0.76</v>
      </c>
      <c r="P14" s="3">
        <f t="shared" si="11"/>
        <v>222.38244600000002</v>
      </c>
      <c r="Q14" s="2">
        <v>0.08</v>
      </c>
      <c r="R14" s="78">
        <v>3</v>
      </c>
      <c r="S14" s="78">
        <v>5.45</v>
      </c>
      <c r="T14" s="80" t="s">
        <v>226</v>
      </c>
      <c r="U14" s="2">
        <v>0.53</v>
      </c>
      <c r="V14" s="80" t="s">
        <v>227</v>
      </c>
    </row>
    <row r="15" spans="1:22">
      <c r="A15" s="93" t="s">
        <v>155</v>
      </c>
      <c r="B15" s="77" t="s">
        <v>230</v>
      </c>
      <c r="C15" s="78">
        <v>15.92</v>
      </c>
      <c r="D15" s="78">
        <v>8.85</v>
      </c>
      <c r="E15" s="2">
        <f t="shared" si="8"/>
        <v>0.55590452261306533</v>
      </c>
      <c r="F15" s="3">
        <v>24.9</v>
      </c>
      <c r="G15" s="78">
        <v>4.0999999999999996</v>
      </c>
      <c r="H15" s="78">
        <f t="shared" si="9"/>
        <v>6.0731707317073171</v>
      </c>
      <c r="I15" s="78">
        <v>4.5999999999999996</v>
      </c>
      <c r="J15" s="78">
        <v>5.41</v>
      </c>
      <c r="K15" s="3">
        <v>530</v>
      </c>
      <c r="L15" s="3">
        <v>188.57</v>
      </c>
      <c r="M15" s="78">
        <v>3.57</v>
      </c>
      <c r="N15" s="79">
        <f t="shared" si="10"/>
        <v>1.8931961605769741E-2</v>
      </c>
      <c r="O15">
        <v>0.36</v>
      </c>
      <c r="P15" s="3">
        <f t="shared" si="11"/>
        <v>16.688444999999998</v>
      </c>
      <c r="Q15" s="2">
        <v>0.13</v>
      </c>
      <c r="R15" s="78">
        <v>1.2</v>
      </c>
      <c r="S15" s="78">
        <v>10.8</v>
      </c>
      <c r="T15" s="80" t="s">
        <v>226</v>
      </c>
      <c r="U15" s="2">
        <v>0.6</v>
      </c>
      <c r="V15" s="80" t="s">
        <v>227</v>
      </c>
    </row>
    <row r="16" spans="1:22">
      <c r="A16" s="93" t="s">
        <v>231</v>
      </c>
      <c r="B16" s="77" t="s">
        <v>232</v>
      </c>
      <c r="C16" s="78">
        <v>22.8</v>
      </c>
      <c r="D16" s="78">
        <v>21.68</v>
      </c>
      <c r="E16" s="2">
        <f t="shared" si="8"/>
        <v>0.9508771929824561</v>
      </c>
      <c r="F16" s="3">
        <v>49.83</v>
      </c>
      <c r="G16" s="78">
        <v>6.75</v>
      </c>
      <c r="H16" s="78">
        <f t="shared" si="9"/>
        <v>7.3822222222222216</v>
      </c>
      <c r="I16" s="78">
        <v>4.6100000000000003</v>
      </c>
      <c r="J16" s="78">
        <v>10.82</v>
      </c>
      <c r="K16" s="3">
        <v>592</v>
      </c>
      <c r="L16" s="3">
        <v>331.93</v>
      </c>
      <c r="M16" s="78">
        <v>10.95</v>
      </c>
      <c r="N16" s="79">
        <f t="shared" si="10"/>
        <v>3.2988883198264693E-2</v>
      </c>
      <c r="O16">
        <v>0.56000000000000005</v>
      </c>
      <c r="P16" s="3">
        <f t="shared" si="11"/>
        <v>71.962423999999999</v>
      </c>
      <c r="Q16" s="2">
        <v>0.11</v>
      </c>
      <c r="R16" s="78">
        <v>2.04</v>
      </c>
      <c r="S16" s="78">
        <v>8.1</v>
      </c>
      <c r="T16" s="80" t="s">
        <v>226</v>
      </c>
      <c r="U16" s="2">
        <v>0.62</v>
      </c>
      <c r="V16" s="80" t="s">
        <v>227</v>
      </c>
    </row>
    <row r="17" spans="1:22">
      <c r="A17" s="93" t="s">
        <v>233</v>
      </c>
      <c r="B17" s="77" t="s">
        <v>234</v>
      </c>
      <c r="C17" s="78">
        <v>3.94</v>
      </c>
      <c r="D17" s="78">
        <v>3.09</v>
      </c>
      <c r="E17" s="2">
        <f t="shared" si="8"/>
        <v>0.78426395939086291</v>
      </c>
      <c r="F17" s="3">
        <v>65.099999999999994</v>
      </c>
      <c r="G17" s="78">
        <v>10.3</v>
      </c>
      <c r="H17" s="78">
        <f t="shared" si="9"/>
        <v>6.3203883495145625</v>
      </c>
      <c r="I17" s="78">
        <v>1.3</v>
      </c>
      <c r="J17" s="78">
        <v>50.08</v>
      </c>
      <c r="K17" s="3">
        <v>826</v>
      </c>
      <c r="L17" s="3">
        <v>787.36</v>
      </c>
      <c r="M17" s="78">
        <v>59.51</v>
      </c>
      <c r="N17" s="79">
        <f t="shared" si="10"/>
        <v>7.5581690713269659E-2</v>
      </c>
      <c r="O17">
        <v>0.95</v>
      </c>
      <c r="P17" s="3">
        <f t="shared" si="11"/>
        <v>24.329423999999999</v>
      </c>
      <c r="Q17" s="2">
        <v>0.1</v>
      </c>
      <c r="R17" s="78">
        <v>2.34</v>
      </c>
      <c r="S17" s="78">
        <v>5.07</v>
      </c>
      <c r="T17" s="80" t="s">
        <v>226</v>
      </c>
      <c r="U17" s="2">
        <v>0.59</v>
      </c>
      <c r="V17" s="80" t="s">
        <v>227</v>
      </c>
    </row>
    <row r="18" spans="1:22">
      <c r="A18" s="93" t="s">
        <v>235</v>
      </c>
      <c r="B18" s="77" t="s">
        <v>236</v>
      </c>
      <c r="C18" s="78">
        <v>22.77</v>
      </c>
      <c r="D18" s="78">
        <v>22.14</v>
      </c>
      <c r="E18" s="2">
        <f t="shared" si="8"/>
        <v>0.97233201581027673</v>
      </c>
      <c r="F18" s="3">
        <v>41.68</v>
      </c>
      <c r="G18" s="78">
        <v>6.13</v>
      </c>
      <c r="H18" s="78">
        <f t="shared" si="9"/>
        <v>6.7993474714518758</v>
      </c>
      <c r="I18" s="78">
        <v>0.78</v>
      </c>
      <c r="J18" s="78">
        <v>53.67</v>
      </c>
      <c r="K18" s="3">
        <v>395</v>
      </c>
      <c r="L18" s="3">
        <v>375.13</v>
      </c>
      <c r="M18" s="78">
        <v>6.93</v>
      </c>
      <c r="N18" s="79">
        <f t="shared" si="10"/>
        <v>1.8473595820115693E-2</v>
      </c>
      <c r="O18">
        <v>0.95</v>
      </c>
      <c r="P18" s="3">
        <f t="shared" si="11"/>
        <v>83.053782000000012</v>
      </c>
      <c r="Q18" s="2">
        <v>0.26</v>
      </c>
      <c r="R18" s="78">
        <v>0.4</v>
      </c>
      <c r="S18" s="78">
        <v>2.63</v>
      </c>
      <c r="T18" s="80" t="s">
        <v>226</v>
      </c>
      <c r="U18" s="2">
        <v>0.55000000000000004</v>
      </c>
      <c r="V18" s="80" t="s">
        <v>227</v>
      </c>
    </row>
    <row r="19" spans="1:22">
      <c r="A19" s="93" t="s">
        <v>237</v>
      </c>
      <c r="B19" s="77" t="s">
        <v>238</v>
      </c>
      <c r="C19" s="78">
        <v>27.36</v>
      </c>
      <c r="D19" s="78">
        <v>26.01</v>
      </c>
      <c r="E19" s="2">
        <f t="shared" si="8"/>
        <v>0.95065789473684215</v>
      </c>
      <c r="F19" s="3" t="s">
        <v>239</v>
      </c>
      <c r="G19" s="78" t="s">
        <v>239</v>
      </c>
      <c r="H19" s="78" t="s">
        <v>239</v>
      </c>
      <c r="I19" s="78" t="s">
        <v>239</v>
      </c>
      <c r="J19" s="78" t="s">
        <v>239</v>
      </c>
      <c r="K19" s="3">
        <v>975</v>
      </c>
      <c r="L19" s="3">
        <v>416.59</v>
      </c>
      <c r="M19" s="78">
        <v>6.85</v>
      </c>
      <c r="N19" s="79">
        <f t="shared" si="10"/>
        <v>1.6443025516695072E-2</v>
      </c>
      <c r="O19">
        <v>0.42</v>
      </c>
      <c r="P19" s="3">
        <f t="shared" si="11"/>
        <v>108.355059</v>
      </c>
      <c r="Q19" s="2">
        <v>0.22</v>
      </c>
      <c r="R19" s="78">
        <v>0.11</v>
      </c>
      <c r="S19" s="78">
        <v>3.56</v>
      </c>
      <c r="T19" s="80" t="s">
        <v>226</v>
      </c>
      <c r="U19" s="2">
        <v>0.65</v>
      </c>
      <c r="V19" s="80" t="s">
        <v>227</v>
      </c>
    </row>
    <row r="20" spans="1:22">
      <c r="A20" s="93" t="s">
        <v>240</v>
      </c>
      <c r="B20" s="77" t="s">
        <v>241</v>
      </c>
      <c r="C20" s="78">
        <v>39.5</v>
      </c>
      <c r="D20" s="78">
        <v>33.950000000000003</v>
      </c>
      <c r="E20" s="2">
        <f t="shared" si="8"/>
        <v>0.85949367088607598</v>
      </c>
      <c r="F20" s="3">
        <v>55.08</v>
      </c>
      <c r="G20" s="78">
        <v>6.57</v>
      </c>
      <c r="H20" s="78">
        <f>F20/G20</f>
        <v>8.3835616438356162</v>
      </c>
      <c r="I20" s="78">
        <v>6.36</v>
      </c>
      <c r="J20" s="78">
        <v>8.66</v>
      </c>
      <c r="K20" s="3">
        <v>798</v>
      </c>
      <c r="L20" s="3">
        <v>591.82000000000005</v>
      </c>
      <c r="M20" s="78">
        <v>76.709999999999994</v>
      </c>
      <c r="N20" s="79">
        <f t="shared" si="10"/>
        <v>0.12961711331147982</v>
      </c>
      <c r="O20">
        <v>0.74</v>
      </c>
      <c r="P20" s="3">
        <f t="shared" si="11"/>
        <v>200.92289000000005</v>
      </c>
      <c r="Q20" s="2">
        <v>0.08</v>
      </c>
      <c r="R20" s="78">
        <v>0.41</v>
      </c>
      <c r="S20" s="78">
        <v>6.02</v>
      </c>
      <c r="T20" s="80" t="s">
        <v>226</v>
      </c>
      <c r="U20" s="2">
        <v>0.6</v>
      </c>
      <c r="V20" s="80" t="s">
        <v>242</v>
      </c>
    </row>
    <row r="21" spans="1:22">
      <c r="A21" s="93" t="s">
        <v>243</v>
      </c>
      <c r="B21" s="77"/>
      <c r="C21" s="78">
        <f>9/5</f>
        <v>1.8</v>
      </c>
      <c r="D21" s="78"/>
      <c r="E21" s="2">
        <v>0.77</v>
      </c>
      <c r="F21" s="3"/>
      <c r="G21" s="78"/>
      <c r="H21" s="78"/>
      <c r="I21" s="78"/>
      <c r="J21" s="78"/>
      <c r="K21" s="3"/>
      <c r="L21" s="3">
        <v>350</v>
      </c>
      <c r="M21" s="78"/>
      <c r="N21" s="79"/>
      <c r="P21" s="3"/>
      <c r="Q21" s="2"/>
      <c r="R21" s="78"/>
      <c r="S21" s="78"/>
      <c r="T21" s="80" t="s">
        <v>244</v>
      </c>
      <c r="U21" s="2"/>
      <c r="V21" s="80"/>
    </row>
    <row r="22" spans="1:22">
      <c r="A22" s="93" t="s">
        <v>245</v>
      </c>
      <c r="B22" s="77" t="s">
        <v>246</v>
      </c>
      <c r="C22" s="78">
        <v>16.579999999999998</v>
      </c>
      <c r="D22" s="78">
        <v>15.12</v>
      </c>
      <c r="E22" s="2">
        <f t="shared" ref="E22:E27" si="12">D22/C22</f>
        <v>0.91194209891435474</v>
      </c>
      <c r="F22" s="3">
        <v>42.5</v>
      </c>
      <c r="G22" s="78">
        <v>5.77</v>
      </c>
      <c r="H22" s="78">
        <f>F22/G22</f>
        <v>7.3656845753899489</v>
      </c>
      <c r="I22" s="78">
        <v>1.4</v>
      </c>
      <c r="J22" s="78">
        <v>30.43</v>
      </c>
      <c r="K22" s="3">
        <v>460</v>
      </c>
      <c r="L22" s="3">
        <v>332.6</v>
      </c>
      <c r="M22" s="78">
        <v>5.01</v>
      </c>
      <c r="N22" s="79">
        <f t="shared" ref="N22:N62" si="13">M22/L22</f>
        <v>1.5063138905592301E-2</v>
      </c>
      <c r="O22">
        <v>0.72</v>
      </c>
      <c r="P22" s="3">
        <f t="shared" ref="P22:P62" si="14">L22*D22/100</f>
        <v>50.289120000000004</v>
      </c>
      <c r="Q22" s="2">
        <v>0.14000000000000001</v>
      </c>
      <c r="R22" s="78">
        <v>1.27</v>
      </c>
      <c r="S22" s="78">
        <v>6.44</v>
      </c>
      <c r="T22" s="80" t="s">
        <v>226</v>
      </c>
      <c r="U22" s="2">
        <v>0.52</v>
      </c>
      <c r="V22" s="80" t="s">
        <v>227</v>
      </c>
    </row>
    <row r="23" spans="1:22">
      <c r="A23" s="93" t="s">
        <v>247</v>
      </c>
      <c r="B23" s="77" t="s">
        <v>248</v>
      </c>
      <c r="C23" s="78">
        <v>32.799999999999997</v>
      </c>
      <c r="D23" s="78">
        <v>30.37</v>
      </c>
      <c r="E23" s="2">
        <f t="shared" si="12"/>
        <v>0.92591463414634156</v>
      </c>
      <c r="F23" s="3">
        <v>49</v>
      </c>
      <c r="G23" s="78">
        <v>7</v>
      </c>
      <c r="H23" s="78">
        <f>F23/G23</f>
        <v>7</v>
      </c>
      <c r="I23" s="78">
        <v>3.4</v>
      </c>
      <c r="J23" s="78">
        <v>14.41</v>
      </c>
      <c r="K23" s="3">
        <v>620</v>
      </c>
      <c r="L23" s="3">
        <v>534.54999999999995</v>
      </c>
      <c r="M23" s="78">
        <v>4.99</v>
      </c>
      <c r="N23" s="79">
        <f t="shared" si="13"/>
        <v>9.3349546347395018E-3</v>
      </c>
      <c r="O23">
        <v>0.86</v>
      </c>
      <c r="P23" s="3">
        <f t="shared" si="14"/>
        <v>162.34283500000001</v>
      </c>
      <c r="Q23" s="2">
        <v>0.21</v>
      </c>
      <c r="R23" s="78">
        <v>2.2999999999999998</v>
      </c>
      <c r="S23" s="78">
        <v>9.34</v>
      </c>
      <c r="T23" s="80" t="s">
        <v>226</v>
      </c>
      <c r="U23" s="2">
        <v>0.62</v>
      </c>
      <c r="V23" s="80" t="s">
        <v>227</v>
      </c>
    </row>
    <row r="24" spans="1:22">
      <c r="A24" s="93" t="s">
        <v>249</v>
      </c>
      <c r="B24" s="77" t="s">
        <v>250</v>
      </c>
      <c r="C24" s="78">
        <v>23.8</v>
      </c>
      <c r="D24" s="78">
        <v>21.42</v>
      </c>
      <c r="E24" s="2">
        <f t="shared" si="12"/>
        <v>0.9</v>
      </c>
      <c r="F24" s="3">
        <v>48.2</v>
      </c>
      <c r="G24" s="78">
        <v>7</v>
      </c>
      <c r="H24" s="78">
        <f>F24/G24</f>
        <v>6.8857142857142861</v>
      </c>
      <c r="I24" s="78">
        <v>3.6</v>
      </c>
      <c r="J24" s="78">
        <v>13.39</v>
      </c>
      <c r="K24" s="3">
        <v>620</v>
      </c>
      <c r="L24" s="3">
        <v>490.97</v>
      </c>
      <c r="M24" s="78">
        <v>4.8099999999999996</v>
      </c>
      <c r="N24" s="79">
        <f t="shared" si="13"/>
        <v>9.7969326028066878E-3</v>
      </c>
      <c r="O24">
        <v>0.79</v>
      </c>
      <c r="P24" s="3">
        <f t="shared" si="14"/>
        <v>105.16577400000001</v>
      </c>
      <c r="Q24" s="2">
        <v>0.19</v>
      </c>
      <c r="R24" s="78">
        <v>2.5</v>
      </c>
      <c r="S24" s="78">
        <v>10.74</v>
      </c>
      <c r="T24" s="80" t="s">
        <v>226</v>
      </c>
      <c r="U24" s="2">
        <v>0.62</v>
      </c>
      <c r="V24" s="80" t="s">
        <v>227</v>
      </c>
    </row>
    <row r="25" spans="1:22">
      <c r="A25" s="93" t="s">
        <v>251</v>
      </c>
      <c r="B25" s="77" t="s">
        <v>252</v>
      </c>
      <c r="C25" s="78">
        <v>99.9</v>
      </c>
      <c r="D25" s="78">
        <v>99.12</v>
      </c>
      <c r="E25" s="2">
        <f t="shared" si="12"/>
        <v>0.99219219219219223</v>
      </c>
      <c r="F25" s="3" t="s">
        <v>239</v>
      </c>
      <c r="G25" s="78" t="s">
        <v>239</v>
      </c>
      <c r="H25" s="78" t="s">
        <v>239</v>
      </c>
      <c r="I25" s="78" t="s">
        <v>239</v>
      </c>
      <c r="J25" s="78" t="s">
        <v>239</v>
      </c>
      <c r="K25" s="3">
        <v>986</v>
      </c>
      <c r="L25" s="3">
        <v>804.61</v>
      </c>
      <c r="M25" s="78">
        <v>57</v>
      </c>
      <c r="N25" s="79">
        <f t="shared" si="13"/>
        <v>7.0841774275736069E-2</v>
      </c>
      <c r="O25">
        <v>0.82</v>
      </c>
      <c r="P25" s="3">
        <f t="shared" si="14"/>
        <v>797.52943200000004</v>
      </c>
      <c r="Q25" s="2">
        <v>9.0999999999999998E-2</v>
      </c>
      <c r="R25" s="78">
        <v>3.57</v>
      </c>
      <c r="S25" s="78">
        <v>9.7100000000000009</v>
      </c>
      <c r="T25" s="80" t="s">
        <v>226</v>
      </c>
      <c r="U25" s="2">
        <v>0.68</v>
      </c>
      <c r="V25" s="80" t="s">
        <v>227</v>
      </c>
    </row>
    <row r="26" spans="1:22">
      <c r="A26" s="93" t="s">
        <v>253</v>
      </c>
      <c r="B26" s="77" t="s">
        <v>254</v>
      </c>
      <c r="C26" s="78">
        <v>51.46</v>
      </c>
      <c r="D26" s="78">
        <v>29.72</v>
      </c>
      <c r="E26" s="2">
        <f t="shared" si="12"/>
        <v>0.57753595025262339</v>
      </c>
      <c r="F26" s="3">
        <v>31.15</v>
      </c>
      <c r="G26" s="78">
        <v>4.26</v>
      </c>
      <c r="H26" s="78">
        <f>F26/G26</f>
        <v>7.312206572769953</v>
      </c>
      <c r="I26" s="78">
        <v>2.35</v>
      </c>
      <c r="J26" s="78">
        <v>13.24</v>
      </c>
      <c r="K26" s="3">
        <v>614</v>
      </c>
      <c r="L26" s="3">
        <v>228.26</v>
      </c>
      <c r="M26" s="78">
        <v>2.3199999999999998</v>
      </c>
      <c r="N26" s="79">
        <f t="shared" si="13"/>
        <v>1.0163848243231402E-2</v>
      </c>
      <c r="O26">
        <v>0.37</v>
      </c>
      <c r="P26" s="3">
        <f t="shared" si="14"/>
        <v>67.838871999999995</v>
      </c>
      <c r="Q26" s="2">
        <v>0.19</v>
      </c>
      <c r="R26" s="78">
        <v>0.5</v>
      </c>
      <c r="S26" s="78">
        <v>3.61</v>
      </c>
      <c r="T26" s="80" t="s">
        <v>226</v>
      </c>
      <c r="U26" s="2">
        <v>0.65</v>
      </c>
      <c r="V26" s="80" t="s">
        <v>227</v>
      </c>
    </row>
    <row r="27" spans="1:22">
      <c r="A27" s="93" t="s">
        <v>255</v>
      </c>
      <c r="B27" s="77" t="s">
        <v>256</v>
      </c>
      <c r="C27" s="78">
        <v>5.36</v>
      </c>
      <c r="D27" s="78">
        <v>3.92</v>
      </c>
      <c r="E27" s="2">
        <f t="shared" si="12"/>
        <v>0.73134328358208944</v>
      </c>
      <c r="F27" s="3" t="s">
        <v>239</v>
      </c>
      <c r="G27" s="78" t="s">
        <v>239</v>
      </c>
      <c r="H27" s="78" t="s">
        <v>239</v>
      </c>
      <c r="I27" s="78" t="s">
        <v>239</v>
      </c>
      <c r="J27" s="78" t="s">
        <v>239</v>
      </c>
      <c r="K27" s="3" t="s">
        <v>239</v>
      </c>
      <c r="L27" s="3">
        <v>126.83</v>
      </c>
      <c r="M27" s="78">
        <v>11.3</v>
      </c>
      <c r="N27" s="79">
        <f t="shared" si="13"/>
        <v>8.9095639832847129E-2</v>
      </c>
      <c r="O27" t="s">
        <v>239</v>
      </c>
      <c r="P27" s="3">
        <f t="shared" si="14"/>
        <v>4.9717359999999999</v>
      </c>
      <c r="Q27" s="2">
        <v>0.11</v>
      </c>
      <c r="R27" s="78">
        <v>0.21</v>
      </c>
      <c r="S27" s="78">
        <v>6.3</v>
      </c>
      <c r="T27" s="80" t="s">
        <v>226</v>
      </c>
      <c r="U27" s="2">
        <v>0.55000000000000004</v>
      </c>
      <c r="V27" s="80" t="s">
        <v>227</v>
      </c>
    </row>
    <row r="28" spans="1:22">
      <c r="A28" s="93" t="s">
        <v>257</v>
      </c>
      <c r="B28" s="77" t="s">
        <v>258</v>
      </c>
      <c r="C28" s="78" t="s">
        <v>239</v>
      </c>
      <c r="D28" s="78">
        <v>20.420000000000002</v>
      </c>
      <c r="E28" s="2" t="s">
        <v>239</v>
      </c>
      <c r="F28" s="3">
        <v>43.14</v>
      </c>
      <c r="G28" s="78">
        <v>5.84</v>
      </c>
      <c r="H28" s="78">
        <f t="shared" ref="H28:H62" si="15">F28/G28</f>
        <v>7.3869863013698636</v>
      </c>
      <c r="I28" s="78">
        <v>1.92</v>
      </c>
      <c r="J28" s="78">
        <v>22.51</v>
      </c>
      <c r="K28" s="3">
        <v>472</v>
      </c>
      <c r="L28" s="3">
        <v>367.83</v>
      </c>
      <c r="M28" s="78">
        <v>8.7899999999999991</v>
      </c>
      <c r="N28" s="79">
        <f t="shared" si="13"/>
        <v>2.3896908898132289E-2</v>
      </c>
      <c r="O28">
        <v>0.78</v>
      </c>
      <c r="P28" s="3">
        <f t="shared" si="14"/>
        <v>75.110885999999994</v>
      </c>
      <c r="Q28" s="2">
        <v>0.16</v>
      </c>
      <c r="R28" s="78">
        <v>0.6</v>
      </c>
      <c r="S28" s="78">
        <v>4.5</v>
      </c>
      <c r="T28" s="80" t="s">
        <v>226</v>
      </c>
      <c r="U28" s="2">
        <v>0.55000000000000004</v>
      </c>
      <c r="V28" s="80" t="s">
        <v>227</v>
      </c>
    </row>
    <row r="29" spans="1:22">
      <c r="A29" s="93" t="s">
        <v>259</v>
      </c>
      <c r="B29" s="77" t="s">
        <v>260</v>
      </c>
      <c r="C29" s="78">
        <v>29.27</v>
      </c>
      <c r="D29" s="78">
        <v>26.84</v>
      </c>
      <c r="E29" s="2">
        <f t="shared" ref="E29:E62" si="16">D29/C29</f>
        <v>0.91697984284250089</v>
      </c>
      <c r="F29" s="3">
        <v>43.32</v>
      </c>
      <c r="G29" s="78">
        <v>5.88</v>
      </c>
      <c r="H29" s="78">
        <f t="shared" si="15"/>
        <v>7.3673469387755102</v>
      </c>
      <c r="I29" s="78">
        <v>1.67</v>
      </c>
      <c r="J29" s="78">
        <v>25.94</v>
      </c>
      <c r="K29" s="3">
        <v>443</v>
      </c>
      <c r="L29" s="3">
        <v>399.56</v>
      </c>
      <c r="M29" s="78">
        <v>4.12</v>
      </c>
      <c r="N29" s="79">
        <f t="shared" si="13"/>
        <v>1.0311342476724397E-2</v>
      </c>
      <c r="O29">
        <v>0.9</v>
      </c>
      <c r="P29" s="3">
        <f t="shared" si="14"/>
        <v>107.24190399999999</v>
      </c>
      <c r="Q29" s="2">
        <v>0.11</v>
      </c>
      <c r="R29" s="78">
        <v>1.94</v>
      </c>
      <c r="S29" s="78">
        <v>7.65</v>
      </c>
      <c r="T29" s="80" t="s">
        <v>226</v>
      </c>
      <c r="U29" s="2">
        <v>0.55000000000000004</v>
      </c>
      <c r="V29" s="80" t="s">
        <v>227</v>
      </c>
    </row>
    <row r="30" spans="1:22">
      <c r="A30" s="93" t="s">
        <v>261</v>
      </c>
      <c r="B30" s="77" t="s">
        <v>262</v>
      </c>
      <c r="C30" s="78">
        <v>15.38</v>
      </c>
      <c r="D30" s="78">
        <v>13.26</v>
      </c>
      <c r="E30" s="2">
        <f t="shared" si="16"/>
        <v>0.86215864759427818</v>
      </c>
      <c r="F30" s="3">
        <v>42.4</v>
      </c>
      <c r="G30" s="78">
        <v>5.6</v>
      </c>
      <c r="H30" s="78">
        <f t="shared" si="15"/>
        <v>7.5714285714285721</v>
      </c>
      <c r="I30" s="78">
        <v>1.74</v>
      </c>
      <c r="J30" s="78">
        <v>24.37</v>
      </c>
      <c r="K30" s="3">
        <v>503</v>
      </c>
      <c r="L30" s="3">
        <v>389.61</v>
      </c>
      <c r="M30" s="78">
        <v>3.06</v>
      </c>
      <c r="N30" s="79">
        <f t="shared" si="13"/>
        <v>7.8540078540078537E-3</v>
      </c>
      <c r="O30">
        <v>0.77</v>
      </c>
      <c r="P30" s="3">
        <f t="shared" si="14"/>
        <v>51.662286000000002</v>
      </c>
      <c r="Q30" s="2">
        <v>0.153</v>
      </c>
      <c r="R30" s="78">
        <v>0.1</v>
      </c>
      <c r="S30" s="78">
        <v>4.76</v>
      </c>
      <c r="T30" s="80" t="s">
        <v>226</v>
      </c>
      <c r="U30" s="2">
        <v>0.55000000000000004</v>
      </c>
      <c r="V30" s="80" t="s">
        <v>227</v>
      </c>
    </row>
    <row r="31" spans="1:22">
      <c r="A31" s="93" t="s">
        <v>263</v>
      </c>
      <c r="B31" s="77" t="s">
        <v>264</v>
      </c>
      <c r="C31" s="78">
        <v>17.850000000000001</v>
      </c>
      <c r="D31" s="78">
        <v>16.420000000000002</v>
      </c>
      <c r="E31" s="2">
        <f t="shared" si="16"/>
        <v>0.91988795518207289</v>
      </c>
      <c r="F31" s="3">
        <v>43.8</v>
      </c>
      <c r="G31" s="78">
        <v>5.91</v>
      </c>
      <c r="H31" s="78">
        <f t="shared" si="15"/>
        <v>7.4111675126903549</v>
      </c>
      <c r="I31" s="78">
        <v>1.08</v>
      </c>
      <c r="J31" s="78">
        <v>40.43</v>
      </c>
      <c r="K31" s="3">
        <v>469</v>
      </c>
      <c r="L31" s="3">
        <v>392.56</v>
      </c>
      <c r="M31" s="78">
        <v>6.83</v>
      </c>
      <c r="N31" s="79">
        <f t="shared" si="13"/>
        <v>1.7398614224577134E-2</v>
      </c>
      <c r="O31">
        <v>0.84</v>
      </c>
      <c r="P31" s="3">
        <f t="shared" si="14"/>
        <v>64.458352000000005</v>
      </c>
      <c r="Q31" s="2">
        <v>0.14000000000000001</v>
      </c>
      <c r="R31" s="78">
        <v>0.54</v>
      </c>
      <c r="S31" s="78">
        <v>5.01</v>
      </c>
      <c r="T31" s="80" t="s">
        <v>226</v>
      </c>
      <c r="U31" s="2">
        <v>0.55000000000000004</v>
      </c>
      <c r="V31" s="80" t="s">
        <v>227</v>
      </c>
    </row>
    <row r="32" spans="1:22">
      <c r="A32" s="93" t="s">
        <v>265</v>
      </c>
      <c r="B32" s="77" t="s">
        <v>266</v>
      </c>
      <c r="C32" s="78">
        <v>12.22</v>
      </c>
      <c r="D32" s="78">
        <v>11.25</v>
      </c>
      <c r="E32" s="2">
        <f t="shared" si="16"/>
        <v>0.92062193126022906</v>
      </c>
      <c r="F32" s="3">
        <v>44.47</v>
      </c>
      <c r="G32" s="78">
        <v>5.65</v>
      </c>
      <c r="H32" s="78">
        <f t="shared" si="15"/>
        <v>7.8707964601769902</v>
      </c>
      <c r="I32" s="78">
        <v>1.02</v>
      </c>
      <c r="J32" s="78">
        <v>43.74</v>
      </c>
      <c r="K32" s="3">
        <v>472</v>
      </c>
      <c r="L32" s="3">
        <v>374.48</v>
      </c>
      <c r="M32" s="78">
        <v>29.69</v>
      </c>
      <c r="N32" s="79">
        <f t="shared" si="13"/>
        <v>7.9283272804956201E-2</v>
      </c>
      <c r="O32">
        <v>0.79</v>
      </c>
      <c r="P32" s="3">
        <f t="shared" si="14"/>
        <v>42.129000000000005</v>
      </c>
      <c r="Q32" s="2">
        <v>0.1</v>
      </c>
      <c r="R32" s="78">
        <v>3.2</v>
      </c>
      <c r="S32" s="78">
        <v>8.86</v>
      </c>
      <c r="T32" s="80" t="s">
        <v>226</v>
      </c>
      <c r="U32" s="2">
        <v>0.55000000000000004</v>
      </c>
      <c r="V32" s="80" t="s">
        <v>227</v>
      </c>
    </row>
    <row r="33" spans="1:22">
      <c r="A33" s="93" t="s">
        <v>267</v>
      </c>
      <c r="B33" s="77" t="s">
        <v>268</v>
      </c>
      <c r="C33" s="78">
        <v>6.5</v>
      </c>
      <c r="D33" s="78">
        <v>5.0999999999999996</v>
      </c>
      <c r="E33" s="2">
        <f t="shared" si="16"/>
        <v>0.7846153846153846</v>
      </c>
      <c r="F33" s="3">
        <v>42.25</v>
      </c>
      <c r="G33" s="78">
        <v>5.36</v>
      </c>
      <c r="H33" s="78">
        <f t="shared" si="15"/>
        <v>7.8824626865671634</v>
      </c>
      <c r="I33" s="78">
        <v>1.98</v>
      </c>
      <c r="J33" s="78">
        <v>21.34</v>
      </c>
      <c r="K33" s="3">
        <v>575</v>
      </c>
      <c r="L33" s="3">
        <v>175.45</v>
      </c>
      <c r="M33" s="78">
        <v>13.87</v>
      </c>
      <c r="N33" s="79">
        <f t="shared" si="13"/>
        <v>7.9053861499002565E-2</v>
      </c>
      <c r="O33">
        <v>0.31</v>
      </c>
      <c r="P33" s="3">
        <f t="shared" si="14"/>
        <v>8.9479499999999987</v>
      </c>
      <c r="Q33" s="2">
        <v>0.13</v>
      </c>
      <c r="R33" s="78">
        <v>1.99</v>
      </c>
      <c r="S33" s="78">
        <v>6.55</v>
      </c>
      <c r="T33" s="80" t="s">
        <v>226</v>
      </c>
      <c r="U33" s="2">
        <v>0.6</v>
      </c>
      <c r="V33" s="80" t="s">
        <v>227</v>
      </c>
    </row>
    <row r="34" spans="1:22">
      <c r="A34" s="93" t="s">
        <v>269</v>
      </c>
      <c r="B34" s="77" t="s">
        <v>270</v>
      </c>
      <c r="C34" s="78">
        <v>7.84</v>
      </c>
      <c r="D34" s="78">
        <v>5.51</v>
      </c>
      <c r="E34" s="2">
        <f t="shared" si="16"/>
        <v>0.70280612244897955</v>
      </c>
      <c r="F34" s="3">
        <v>43.26</v>
      </c>
      <c r="G34" s="78">
        <v>5.84</v>
      </c>
      <c r="H34" s="78">
        <f t="shared" si="15"/>
        <v>7.4075342465753424</v>
      </c>
      <c r="I34" s="78">
        <v>2.19</v>
      </c>
      <c r="J34" s="78">
        <v>19.75</v>
      </c>
      <c r="K34" s="3">
        <v>516</v>
      </c>
      <c r="L34" s="3">
        <v>136.05000000000001</v>
      </c>
      <c r="M34" s="78">
        <v>11.97</v>
      </c>
      <c r="N34" s="79">
        <f t="shared" si="13"/>
        <v>8.7982359426681367E-2</v>
      </c>
      <c r="O34">
        <v>0.26</v>
      </c>
      <c r="P34" s="3">
        <f t="shared" si="14"/>
        <v>7.4963549999999994</v>
      </c>
      <c r="Q34" s="2">
        <v>0.12</v>
      </c>
      <c r="R34" s="78">
        <v>1.56</v>
      </c>
      <c r="S34" s="78">
        <v>4.29</v>
      </c>
      <c r="T34" s="80" t="s">
        <v>226</v>
      </c>
      <c r="U34" s="2">
        <v>0.6</v>
      </c>
      <c r="V34" s="80" t="s">
        <v>227</v>
      </c>
    </row>
    <row r="35" spans="1:22">
      <c r="A35" s="93" t="s">
        <v>271</v>
      </c>
      <c r="B35" s="77" t="s">
        <v>272</v>
      </c>
      <c r="C35" s="78">
        <v>87.38</v>
      </c>
      <c r="D35" s="78">
        <v>82.17</v>
      </c>
      <c r="E35" s="2">
        <f t="shared" si="16"/>
        <v>0.94037537193865883</v>
      </c>
      <c r="F35" s="3">
        <v>44.86</v>
      </c>
      <c r="G35" s="78">
        <v>5.77</v>
      </c>
      <c r="H35" s="78">
        <f t="shared" si="15"/>
        <v>7.7746967071057194</v>
      </c>
      <c r="I35" s="78">
        <v>1.59</v>
      </c>
      <c r="J35" s="78">
        <v>28.15</v>
      </c>
      <c r="K35" s="3">
        <v>470</v>
      </c>
      <c r="L35" s="3">
        <v>156.03</v>
      </c>
      <c r="M35" s="78">
        <v>19</v>
      </c>
      <c r="N35" s="79">
        <f t="shared" si="13"/>
        <v>0.12177145420752419</v>
      </c>
      <c r="O35">
        <v>0.33</v>
      </c>
      <c r="P35" s="3">
        <f t="shared" si="14"/>
        <v>128.20985099999999</v>
      </c>
      <c r="Q35" s="2">
        <v>0.09</v>
      </c>
      <c r="R35" s="78">
        <v>4.84</v>
      </c>
      <c r="S35" s="78">
        <v>10.37</v>
      </c>
      <c r="T35" s="80" t="s">
        <v>226</v>
      </c>
      <c r="U35" s="2">
        <v>0.55000000000000004</v>
      </c>
      <c r="V35" s="80" t="s">
        <v>227</v>
      </c>
    </row>
    <row r="36" spans="1:22">
      <c r="A36" s="93" t="s">
        <v>273</v>
      </c>
      <c r="B36" s="77" t="s">
        <v>274</v>
      </c>
      <c r="C36" s="78">
        <v>19.8</v>
      </c>
      <c r="D36" s="78">
        <v>17.09</v>
      </c>
      <c r="E36" s="2">
        <f t="shared" si="16"/>
        <v>0.86313131313131308</v>
      </c>
      <c r="F36" s="3">
        <v>41.91</v>
      </c>
      <c r="G36" s="78">
        <v>5.6</v>
      </c>
      <c r="H36" s="78">
        <f t="shared" si="15"/>
        <v>7.4839285714285717</v>
      </c>
      <c r="I36" s="78">
        <v>2.93</v>
      </c>
      <c r="J36" s="78">
        <v>14.32</v>
      </c>
      <c r="K36" s="3">
        <v>506</v>
      </c>
      <c r="L36" s="3">
        <v>137.96</v>
      </c>
      <c r="M36" s="78">
        <v>2.73</v>
      </c>
      <c r="N36" s="79">
        <f t="shared" si="13"/>
        <v>1.978834444766599E-2</v>
      </c>
      <c r="O36">
        <v>0.27</v>
      </c>
      <c r="P36" s="3">
        <f t="shared" si="14"/>
        <v>23.577364000000003</v>
      </c>
      <c r="Q36" s="2">
        <v>0.05</v>
      </c>
      <c r="R36" s="78">
        <v>7.56</v>
      </c>
      <c r="S36" s="78">
        <v>15.88</v>
      </c>
      <c r="T36" s="80" t="s">
        <v>226</v>
      </c>
      <c r="U36" s="2">
        <v>0.6</v>
      </c>
      <c r="V36" s="80" t="s">
        <v>227</v>
      </c>
    </row>
    <row r="37" spans="1:22">
      <c r="A37" s="93" t="s">
        <v>275</v>
      </c>
      <c r="B37" s="77" t="s">
        <v>276</v>
      </c>
      <c r="C37" s="78">
        <v>24.34</v>
      </c>
      <c r="D37" s="78">
        <v>23.35</v>
      </c>
      <c r="E37" s="2">
        <f t="shared" si="16"/>
        <v>0.95932621199671331</v>
      </c>
      <c r="F37" s="3">
        <v>42.45</v>
      </c>
      <c r="G37" s="78">
        <v>6.02</v>
      </c>
      <c r="H37" s="78">
        <f t="shared" si="15"/>
        <v>7.0514950166112964</v>
      </c>
      <c r="I37" s="78">
        <v>0.67</v>
      </c>
      <c r="J37" s="78">
        <v>63.04</v>
      </c>
      <c r="K37" s="3">
        <v>421</v>
      </c>
      <c r="L37" s="3">
        <v>337.56</v>
      </c>
      <c r="M37" s="78">
        <v>9.91</v>
      </c>
      <c r="N37" s="79">
        <f t="shared" si="13"/>
        <v>2.9357743808508117E-2</v>
      </c>
      <c r="O37">
        <v>0.8</v>
      </c>
      <c r="P37" s="3">
        <f t="shared" si="14"/>
        <v>78.820260000000005</v>
      </c>
      <c r="Q37" s="2">
        <v>0.23</v>
      </c>
      <c r="R37" s="78">
        <v>0.85</v>
      </c>
      <c r="S37" s="78">
        <v>2.4500000000000002</v>
      </c>
      <c r="T37" s="80" t="s">
        <v>226</v>
      </c>
      <c r="U37" s="2">
        <v>0.51</v>
      </c>
      <c r="V37" s="80" t="s">
        <v>227</v>
      </c>
    </row>
    <row r="38" spans="1:22">
      <c r="A38" s="93" t="s">
        <v>277</v>
      </c>
      <c r="B38" s="77" t="s">
        <v>278</v>
      </c>
      <c r="C38" s="78">
        <v>25.75</v>
      </c>
      <c r="D38" s="78">
        <v>24.72</v>
      </c>
      <c r="E38" s="2">
        <f t="shared" si="16"/>
        <v>0.96</v>
      </c>
      <c r="F38" s="3">
        <v>42.32</v>
      </c>
      <c r="G38" s="78">
        <v>5.94</v>
      </c>
      <c r="H38" s="78">
        <f t="shared" si="15"/>
        <v>7.1245791245791246</v>
      </c>
      <c r="I38" s="78">
        <v>0.71</v>
      </c>
      <c r="J38" s="78">
        <v>59.61</v>
      </c>
      <c r="K38" s="3">
        <v>416</v>
      </c>
      <c r="L38" s="3">
        <v>351.01</v>
      </c>
      <c r="M38" s="78">
        <v>12.27</v>
      </c>
      <c r="N38" s="79">
        <f t="shared" si="13"/>
        <v>3.4956269052163758E-2</v>
      </c>
      <c r="O38">
        <v>0.84</v>
      </c>
      <c r="P38" s="3">
        <f t="shared" si="14"/>
        <v>86.769671999999986</v>
      </c>
      <c r="Q38" s="2">
        <v>0.23</v>
      </c>
      <c r="R38" s="78">
        <v>0.82</v>
      </c>
      <c r="S38" s="78">
        <v>2.4300000000000002</v>
      </c>
      <c r="T38" s="80" t="s">
        <v>226</v>
      </c>
      <c r="U38" s="2">
        <v>0.51</v>
      </c>
      <c r="V38" s="80" t="s">
        <v>227</v>
      </c>
    </row>
    <row r="39" spans="1:22">
      <c r="A39" s="93" t="s">
        <v>279</v>
      </c>
      <c r="B39" s="77" t="s">
        <v>280</v>
      </c>
      <c r="C39" s="78">
        <v>8.61</v>
      </c>
      <c r="D39" s="78">
        <v>6.77</v>
      </c>
      <c r="E39" s="2">
        <f t="shared" si="16"/>
        <v>0.78629500580720091</v>
      </c>
      <c r="F39" s="3">
        <v>43.3</v>
      </c>
      <c r="G39" s="78">
        <v>5.8</v>
      </c>
      <c r="H39" s="78">
        <f t="shared" si="15"/>
        <v>7.4655172413793105</v>
      </c>
      <c r="I39" s="78">
        <v>2.2000000000000002</v>
      </c>
      <c r="J39" s="78">
        <v>19.68</v>
      </c>
      <c r="K39" s="3">
        <v>406</v>
      </c>
      <c r="L39" s="3">
        <v>247.41</v>
      </c>
      <c r="M39" s="78">
        <v>11.02</v>
      </c>
      <c r="N39" s="79">
        <f t="shared" si="13"/>
        <v>4.454144941594923E-2</v>
      </c>
      <c r="O39">
        <v>0.61</v>
      </c>
      <c r="P39" s="3">
        <f t="shared" si="14"/>
        <v>16.749656999999999</v>
      </c>
      <c r="Q39" s="2">
        <v>0.18</v>
      </c>
      <c r="R39" s="78">
        <v>0.52</v>
      </c>
      <c r="S39" s="78">
        <v>4.66</v>
      </c>
      <c r="T39" s="80" t="s">
        <v>226</v>
      </c>
      <c r="U39" s="2">
        <v>0.6</v>
      </c>
      <c r="V39" s="80" t="s">
        <v>227</v>
      </c>
    </row>
    <row r="40" spans="1:22">
      <c r="A40" s="93" t="s">
        <v>281</v>
      </c>
      <c r="B40" s="77" t="s">
        <v>282</v>
      </c>
      <c r="C40" s="78">
        <v>16.29</v>
      </c>
      <c r="D40" s="78">
        <v>15.28</v>
      </c>
      <c r="E40" s="2">
        <f t="shared" si="16"/>
        <v>0.93799877225291595</v>
      </c>
      <c r="F40" s="3">
        <v>49.48</v>
      </c>
      <c r="G40" s="78">
        <v>6.88</v>
      </c>
      <c r="H40" s="78">
        <f t="shared" si="15"/>
        <v>7.191860465116279</v>
      </c>
      <c r="I40" s="78">
        <v>2.6</v>
      </c>
      <c r="J40" s="78">
        <v>19.010000000000002</v>
      </c>
      <c r="K40" s="3">
        <v>584</v>
      </c>
      <c r="L40" s="3">
        <v>421.59</v>
      </c>
      <c r="M40" s="78">
        <v>44.47</v>
      </c>
      <c r="N40" s="79">
        <f t="shared" si="13"/>
        <v>0.10548162907089827</v>
      </c>
      <c r="O40">
        <v>0.72</v>
      </c>
      <c r="P40" s="3">
        <f t="shared" si="14"/>
        <v>64.41895199999999</v>
      </c>
      <c r="Q40" s="2">
        <v>0.22</v>
      </c>
      <c r="R40" s="78">
        <v>0.52</v>
      </c>
      <c r="S40" s="78">
        <v>3.19</v>
      </c>
      <c r="T40" s="80" t="s">
        <v>226</v>
      </c>
      <c r="U40" s="2">
        <v>0.62</v>
      </c>
      <c r="V40" s="80" t="s">
        <v>227</v>
      </c>
    </row>
    <row r="41" spans="1:22">
      <c r="A41" s="93" t="s">
        <v>283</v>
      </c>
      <c r="B41" s="77" t="s">
        <v>284</v>
      </c>
      <c r="C41" s="78">
        <v>21.91</v>
      </c>
      <c r="D41" s="78">
        <v>19.96</v>
      </c>
      <c r="E41" s="2">
        <f t="shared" si="16"/>
        <v>0.91099954358740309</v>
      </c>
      <c r="F41" s="3">
        <v>46.8</v>
      </c>
      <c r="G41" s="78">
        <v>6.3</v>
      </c>
      <c r="H41" s="78">
        <f t="shared" si="15"/>
        <v>7.4285714285714279</v>
      </c>
      <c r="I41" s="78">
        <v>2.7</v>
      </c>
      <c r="J41" s="78">
        <v>17.329999999999998</v>
      </c>
      <c r="K41" s="3">
        <v>471</v>
      </c>
      <c r="L41" s="3">
        <v>419.62</v>
      </c>
      <c r="M41" s="78">
        <v>48.9</v>
      </c>
      <c r="N41" s="79">
        <f t="shared" si="13"/>
        <v>0.1165340069586769</v>
      </c>
      <c r="O41">
        <v>0.89</v>
      </c>
      <c r="P41" s="3">
        <f t="shared" si="14"/>
        <v>83.756152</v>
      </c>
      <c r="Q41" s="2">
        <v>0.17</v>
      </c>
      <c r="R41" s="78">
        <v>1.35</v>
      </c>
      <c r="S41" s="78">
        <v>4.92</v>
      </c>
      <c r="T41" s="80" t="s">
        <v>226</v>
      </c>
      <c r="U41" s="2">
        <v>0.62</v>
      </c>
      <c r="V41" s="80" t="s">
        <v>227</v>
      </c>
    </row>
    <row r="42" spans="1:22">
      <c r="A42" s="93" t="s">
        <v>285</v>
      </c>
      <c r="B42" s="77" t="s">
        <v>286</v>
      </c>
      <c r="C42" s="78">
        <v>28.72</v>
      </c>
      <c r="D42" s="78">
        <v>25.14</v>
      </c>
      <c r="E42" s="2">
        <f t="shared" si="16"/>
        <v>0.87534818941504189</v>
      </c>
      <c r="F42" s="3">
        <v>48.8</v>
      </c>
      <c r="G42" s="78">
        <v>7.3</v>
      </c>
      <c r="H42" s="78">
        <f t="shared" si="15"/>
        <v>6.6849315068493151</v>
      </c>
      <c r="I42" s="78">
        <v>3.25</v>
      </c>
      <c r="J42" s="78">
        <v>15.02</v>
      </c>
      <c r="K42" s="3">
        <v>537</v>
      </c>
      <c r="L42" s="3">
        <v>508.44</v>
      </c>
      <c r="M42" s="78">
        <v>24.53</v>
      </c>
      <c r="N42" s="79">
        <f t="shared" si="13"/>
        <v>4.8245614035087724E-2</v>
      </c>
      <c r="O42">
        <v>0.95</v>
      </c>
      <c r="P42" s="3">
        <f t="shared" si="14"/>
        <v>127.821816</v>
      </c>
      <c r="Q42" s="2">
        <v>0.17</v>
      </c>
      <c r="R42" s="78">
        <v>6.75</v>
      </c>
      <c r="S42" s="78">
        <v>12.8</v>
      </c>
      <c r="T42" s="80" t="s">
        <v>226</v>
      </c>
      <c r="U42" s="2">
        <v>0.62</v>
      </c>
      <c r="V42" s="80" t="s">
        <v>227</v>
      </c>
    </row>
    <row r="43" spans="1:22">
      <c r="A43" s="93" t="s">
        <v>287</v>
      </c>
      <c r="B43" s="77" t="s">
        <v>288</v>
      </c>
      <c r="C43" s="78">
        <v>95.12</v>
      </c>
      <c r="D43" s="78">
        <v>87.51</v>
      </c>
      <c r="E43" s="2">
        <f t="shared" si="16"/>
        <v>0.91999579478553406</v>
      </c>
      <c r="F43" s="3">
        <v>50.57</v>
      </c>
      <c r="G43" s="78">
        <v>7.21</v>
      </c>
      <c r="H43" s="78">
        <f t="shared" si="15"/>
        <v>7.013869625520111</v>
      </c>
      <c r="I43" s="78">
        <v>3.68</v>
      </c>
      <c r="J43" s="78">
        <v>13.74</v>
      </c>
      <c r="K43" s="3">
        <v>569</v>
      </c>
      <c r="L43" s="3">
        <v>396.31</v>
      </c>
      <c r="M43" s="78">
        <v>5.14</v>
      </c>
      <c r="N43" s="79">
        <f t="shared" si="13"/>
        <v>1.2969644974893391E-2</v>
      </c>
      <c r="O43">
        <v>0.7</v>
      </c>
      <c r="P43" s="3">
        <f t="shared" si="14"/>
        <v>346.81088099999999</v>
      </c>
      <c r="Q43" s="2">
        <v>0.13400000000000001</v>
      </c>
      <c r="R43" s="78">
        <v>1.1000000000000001</v>
      </c>
      <c r="S43" s="78">
        <v>4.12</v>
      </c>
      <c r="T43" s="80" t="s">
        <v>226</v>
      </c>
      <c r="U43" s="2">
        <v>0.62</v>
      </c>
      <c r="V43" s="80" t="s">
        <v>227</v>
      </c>
    </row>
    <row r="44" spans="1:22">
      <c r="A44" s="93" t="s">
        <v>289</v>
      </c>
      <c r="B44" s="77" t="s">
        <v>290</v>
      </c>
      <c r="C44" s="78">
        <v>35.4</v>
      </c>
      <c r="D44" s="78">
        <v>30.11</v>
      </c>
      <c r="E44" s="2">
        <f t="shared" si="16"/>
        <v>0.85056497175141244</v>
      </c>
      <c r="F44" s="3">
        <v>49</v>
      </c>
      <c r="G44" s="78">
        <v>7</v>
      </c>
      <c r="H44" s="78">
        <f t="shared" si="15"/>
        <v>7</v>
      </c>
      <c r="I44" s="78">
        <v>3.4</v>
      </c>
      <c r="J44" s="78">
        <v>14.41</v>
      </c>
      <c r="K44" s="3">
        <v>550</v>
      </c>
      <c r="L44" s="3">
        <v>535.27</v>
      </c>
      <c r="M44" s="78">
        <v>20.04</v>
      </c>
      <c r="N44" s="79">
        <f t="shared" si="13"/>
        <v>3.7439049451678592E-2</v>
      </c>
      <c r="O44">
        <v>0.97</v>
      </c>
      <c r="P44" s="3">
        <f t="shared" si="14"/>
        <v>161.16979699999999</v>
      </c>
      <c r="Q44" s="2">
        <v>0.22</v>
      </c>
      <c r="R44" s="78">
        <v>3.26</v>
      </c>
      <c r="S44" s="78">
        <v>8.42</v>
      </c>
      <c r="T44" s="80" t="s">
        <v>226</v>
      </c>
      <c r="U44" s="2">
        <v>0.62</v>
      </c>
      <c r="V44" s="80" t="s">
        <v>227</v>
      </c>
    </row>
    <row r="45" spans="1:22">
      <c r="A45" s="93" t="s">
        <v>291</v>
      </c>
      <c r="B45" s="77" t="s">
        <v>292</v>
      </c>
      <c r="C45" s="78">
        <v>33.4</v>
      </c>
      <c r="D45" s="78">
        <v>27.49</v>
      </c>
      <c r="E45" s="2">
        <f t="shared" si="16"/>
        <v>0.82305389221556891</v>
      </c>
      <c r="F45" s="3">
        <v>43.3</v>
      </c>
      <c r="G45" s="78">
        <v>5.9</v>
      </c>
      <c r="H45" s="78">
        <f t="shared" si="15"/>
        <v>7.3389830508474567</v>
      </c>
      <c r="I45" s="78">
        <v>2.7</v>
      </c>
      <c r="J45" s="78">
        <v>16.04</v>
      </c>
      <c r="K45" s="3">
        <v>577</v>
      </c>
      <c r="L45" s="3">
        <v>274.16000000000003</v>
      </c>
      <c r="M45" s="78">
        <v>4.78</v>
      </c>
      <c r="N45" s="79">
        <f t="shared" si="13"/>
        <v>1.7435074409104172E-2</v>
      </c>
      <c r="O45">
        <v>0.48</v>
      </c>
      <c r="P45" s="3">
        <f t="shared" si="14"/>
        <v>75.366584000000003</v>
      </c>
      <c r="Q45" s="2">
        <v>0.16</v>
      </c>
      <c r="R45" s="78">
        <v>2.2000000000000002</v>
      </c>
      <c r="S45" s="78">
        <v>8.8699999999999992</v>
      </c>
      <c r="T45" s="80" t="s">
        <v>226</v>
      </c>
      <c r="U45" s="2">
        <v>0.62</v>
      </c>
      <c r="V45" s="80" t="s">
        <v>227</v>
      </c>
    </row>
    <row r="46" spans="1:22">
      <c r="A46" s="93" t="s">
        <v>293</v>
      </c>
      <c r="B46" s="77" t="s">
        <v>294</v>
      </c>
      <c r="C46" s="78">
        <v>30.6</v>
      </c>
      <c r="D46" s="78">
        <v>27.05</v>
      </c>
      <c r="E46" s="2">
        <f t="shared" si="16"/>
        <v>0.88398692810457513</v>
      </c>
      <c r="F46" s="3">
        <v>44.9</v>
      </c>
      <c r="G46" s="78">
        <v>6.6</v>
      </c>
      <c r="H46" s="78">
        <f t="shared" si="15"/>
        <v>6.8030303030303028</v>
      </c>
      <c r="I46" s="78">
        <v>3.1</v>
      </c>
      <c r="J46" s="78">
        <v>14.48</v>
      </c>
      <c r="K46" s="3">
        <v>566</v>
      </c>
      <c r="L46" s="3">
        <v>367.82</v>
      </c>
      <c r="M46" s="78">
        <v>6.32</v>
      </c>
      <c r="N46" s="79">
        <f t="shared" si="13"/>
        <v>1.7182317437877223E-2</v>
      </c>
      <c r="O46">
        <v>0.65</v>
      </c>
      <c r="P46" s="3">
        <f t="shared" si="14"/>
        <v>99.495310000000003</v>
      </c>
      <c r="Q46" s="2">
        <v>0.18</v>
      </c>
      <c r="R46" s="78">
        <v>2</v>
      </c>
      <c r="S46" s="78">
        <v>8.66</v>
      </c>
      <c r="T46" s="80" t="s">
        <v>226</v>
      </c>
      <c r="U46" s="2">
        <v>0.62</v>
      </c>
      <c r="V46" s="80" t="s">
        <v>227</v>
      </c>
    </row>
    <row r="47" spans="1:22">
      <c r="A47" s="93" t="s">
        <v>295</v>
      </c>
      <c r="B47" s="77" t="s">
        <v>296</v>
      </c>
      <c r="C47" s="78">
        <v>25.66</v>
      </c>
      <c r="D47" s="78">
        <v>18.89</v>
      </c>
      <c r="E47" s="2">
        <f t="shared" si="16"/>
        <v>0.73616523772408415</v>
      </c>
      <c r="F47" s="3">
        <v>41.3</v>
      </c>
      <c r="G47" s="78">
        <v>5.2</v>
      </c>
      <c r="H47" s="78">
        <f t="shared" si="15"/>
        <v>7.9423076923076916</v>
      </c>
      <c r="I47" s="78">
        <v>2.6</v>
      </c>
      <c r="J47" s="78">
        <v>15.88</v>
      </c>
      <c r="K47" s="3">
        <v>625</v>
      </c>
      <c r="L47" s="3">
        <v>296.70999999999998</v>
      </c>
      <c r="M47" s="78">
        <v>6.14</v>
      </c>
      <c r="N47" s="79">
        <f t="shared" si="13"/>
        <v>2.0693606551851977E-2</v>
      </c>
      <c r="O47">
        <v>0.47</v>
      </c>
      <c r="P47" s="3">
        <f t="shared" si="14"/>
        <v>56.048518999999999</v>
      </c>
      <c r="Q47" s="2">
        <v>0.17</v>
      </c>
      <c r="R47" s="78">
        <v>1.3</v>
      </c>
      <c r="S47" s="78">
        <v>6.71</v>
      </c>
      <c r="T47" s="80" t="s">
        <v>226</v>
      </c>
      <c r="U47" s="2">
        <v>0.62</v>
      </c>
      <c r="V47" s="80" t="s">
        <v>227</v>
      </c>
    </row>
    <row r="48" spans="1:22">
      <c r="A48" s="93" t="s">
        <v>297</v>
      </c>
      <c r="B48" s="77" t="s">
        <v>298</v>
      </c>
      <c r="C48" s="78">
        <v>31</v>
      </c>
      <c r="D48" s="78">
        <v>29.08</v>
      </c>
      <c r="E48" s="2">
        <f t="shared" si="16"/>
        <v>0.93806451612903219</v>
      </c>
      <c r="F48" s="3">
        <v>46.5</v>
      </c>
      <c r="G48" s="78">
        <v>7.3</v>
      </c>
      <c r="H48" s="78">
        <f t="shared" si="15"/>
        <v>6.3698630136986303</v>
      </c>
      <c r="I48" s="78">
        <v>3.7</v>
      </c>
      <c r="J48" s="78">
        <v>12.57</v>
      </c>
      <c r="K48" s="3">
        <v>564</v>
      </c>
      <c r="L48" s="3">
        <v>343.75</v>
      </c>
      <c r="M48" s="78">
        <v>2.91</v>
      </c>
      <c r="N48" s="79">
        <f t="shared" si="13"/>
        <v>8.4654545454545451E-3</v>
      </c>
      <c r="O48">
        <v>0.61</v>
      </c>
      <c r="P48" s="3">
        <f t="shared" si="14"/>
        <v>99.962500000000006</v>
      </c>
      <c r="Q48" s="2">
        <v>0.15</v>
      </c>
      <c r="R48" s="78">
        <v>2.2000000000000002</v>
      </c>
      <c r="S48" s="78">
        <v>9.32</v>
      </c>
      <c r="T48" s="80" t="s">
        <v>226</v>
      </c>
      <c r="U48" s="2">
        <v>0.62</v>
      </c>
      <c r="V48" s="80" t="s">
        <v>227</v>
      </c>
    </row>
    <row r="49" spans="1:22">
      <c r="A49" s="93" t="s">
        <v>299</v>
      </c>
      <c r="B49" s="77" t="s">
        <v>300</v>
      </c>
      <c r="C49" s="78">
        <v>32.83</v>
      </c>
      <c r="D49" s="78">
        <v>31.77</v>
      </c>
      <c r="E49" s="2">
        <f t="shared" si="16"/>
        <v>0.96771245811757545</v>
      </c>
      <c r="F49" s="3">
        <v>43.85</v>
      </c>
      <c r="G49" s="78">
        <v>6.21</v>
      </c>
      <c r="H49" s="78">
        <f t="shared" si="15"/>
        <v>7.061191626409018</v>
      </c>
      <c r="I49" s="78">
        <v>1.17</v>
      </c>
      <c r="J49" s="78">
        <v>37.479999999999997</v>
      </c>
      <c r="K49" s="3">
        <v>426</v>
      </c>
      <c r="L49" s="3">
        <v>354.06</v>
      </c>
      <c r="M49" s="78">
        <v>12.94</v>
      </c>
      <c r="N49" s="79">
        <f t="shared" si="13"/>
        <v>3.6547477828616615E-2</v>
      </c>
      <c r="O49">
        <v>0.83</v>
      </c>
      <c r="P49" s="3">
        <f t="shared" si="14"/>
        <v>112.48486199999999</v>
      </c>
      <c r="Q49" s="2">
        <v>0.23</v>
      </c>
      <c r="R49" s="78">
        <v>0.21</v>
      </c>
      <c r="S49" s="78">
        <v>2.98</v>
      </c>
      <c r="T49" s="80" t="s">
        <v>226</v>
      </c>
      <c r="U49" s="2">
        <v>0.53</v>
      </c>
      <c r="V49" s="80" t="s">
        <v>227</v>
      </c>
    </row>
    <row r="50" spans="1:22">
      <c r="A50" s="93" t="s">
        <v>301</v>
      </c>
      <c r="B50" s="77" t="s">
        <v>302</v>
      </c>
      <c r="C50" s="78">
        <v>33.479999999999997</v>
      </c>
      <c r="D50" s="78">
        <v>32.46</v>
      </c>
      <c r="E50" s="2">
        <f t="shared" si="16"/>
        <v>0.96953405017921157</v>
      </c>
      <c r="F50" s="3">
        <v>44.72</v>
      </c>
      <c r="G50" s="78">
        <v>6.32</v>
      </c>
      <c r="H50" s="78">
        <f t="shared" si="15"/>
        <v>7.0759493670886071</v>
      </c>
      <c r="I50" s="78">
        <v>1.23</v>
      </c>
      <c r="J50" s="78">
        <v>36.36</v>
      </c>
      <c r="K50" s="3">
        <v>458</v>
      </c>
      <c r="L50" s="3">
        <v>394.08</v>
      </c>
      <c r="M50" s="78">
        <v>13.51</v>
      </c>
      <c r="N50" s="79">
        <f t="shared" si="13"/>
        <v>3.4282379212342673E-2</v>
      </c>
      <c r="O50">
        <v>0.86</v>
      </c>
      <c r="P50" s="3">
        <f t="shared" si="14"/>
        <v>127.91836799999999</v>
      </c>
      <c r="Q50" s="2">
        <v>0.17</v>
      </c>
      <c r="R50" s="78">
        <v>0.1</v>
      </c>
      <c r="S50" s="78">
        <v>3.94</v>
      </c>
      <c r="T50" s="80" t="s">
        <v>226</v>
      </c>
      <c r="U50" s="2">
        <v>0.52</v>
      </c>
      <c r="V50" s="80" t="s">
        <v>227</v>
      </c>
    </row>
    <row r="51" spans="1:22">
      <c r="A51" s="93" t="s">
        <v>303</v>
      </c>
      <c r="B51" s="77" t="s">
        <v>304</v>
      </c>
      <c r="C51" s="78">
        <v>7.11</v>
      </c>
      <c r="D51" s="78">
        <v>5.75</v>
      </c>
      <c r="E51" s="2">
        <f t="shared" si="16"/>
        <v>0.8087201125175808</v>
      </c>
      <c r="F51" s="3">
        <v>42.8</v>
      </c>
      <c r="G51" s="78">
        <v>5.88</v>
      </c>
      <c r="H51" s="78">
        <f t="shared" si="15"/>
        <v>7.27891156462585</v>
      </c>
      <c r="I51" s="78">
        <v>2.5099999999999998</v>
      </c>
      <c r="J51" s="78">
        <v>17.05</v>
      </c>
      <c r="K51" s="3">
        <v>606</v>
      </c>
      <c r="L51" s="3">
        <v>199.77</v>
      </c>
      <c r="M51" s="78">
        <v>1.71</v>
      </c>
      <c r="N51" s="79">
        <f t="shared" si="13"/>
        <v>8.5598438203934521E-3</v>
      </c>
      <c r="O51">
        <v>0.33</v>
      </c>
      <c r="P51" s="3">
        <f t="shared" si="14"/>
        <v>11.486775</v>
      </c>
      <c r="Q51" s="2">
        <v>0.09</v>
      </c>
      <c r="R51" s="78">
        <v>4.4000000000000004</v>
      </c>
      <c r="S51" s="78">
        <v>9.26</v>
      </c>
      <c r="T51" s="80" t="s">
        <v>226</v>
      </c>
      <c r="U51" s="2">
        <v>0.6</v>
      </c>
      <c r="V51" s="80" t="s">
        <v>227</v>
      </c>
    </row>
    <row r="52" spans="1:22">
      <c r="A52" s="93" t="s">
        <v>305</v>
      </c>
      <c r="B52" s="77" t="s">
        <v>306</v>
      </c>
      <c r="C52" s="78">
        <v>9.1</v>
      </c>
      <c r="D52" s="78">
        <v>6.56</v>
      </c>
      <c r="E52" s="2">
        <f t="shared" si="16"/>
        <v>0.72087912087912087</v>
      </c>
      <c r="F52" s="3">
        <v>40.049999999999997</v>
      </c>
      <c r="G52" s="78">
        <v>5.0599999999999996</v>
      </c>
      <c r="H52" s="78">
        <f t="shared" si="15"/>
        <v>7.9150197628458496</v>
      </c>
      <c r="I52" s="78">
        <v>2.2400000000000002</v>
      </c>
      <c r="J52" s="78">
        <v>17.899999999999999</v>
      </c>
      <c r="K52" s="3">
        <v>525</v>
      </c>
      <c r="L52" s="3">
        <v>214.01</v>
      </c>
      <c r="M52" s="78">
        <v>9.0299999999999994</v>
      </c>
      <c r="N52" s="79">
        <f t="shared" si="13"/>
        <v>4.2194289986449231E-2</v>
      </c>
      <c r="O52">
        <v>0.41</v>
      </c>
      <c r="P52" s="3">
        <f t="shared" si="14"/>
        <v>14.039055999999999</v>
      </c>
      <c r="Q52" s="2">
        <v>0.15</v>
      </c>
      <c r="R52" s="78">
        <v>0.99</v>
      </c>
      <c r="S52" s="78">
        <v>4.3600000000000003</v>
      </c>
      <c r="T52" s="80" t="s">
        <v>226</v>
      </c>
      <c r="U52" s="2">
        <v>0.6</v>
      </c>
      <c r="V52" s="80" t="s">
        <v>227</v>
      </c>
    </row>
    <row r="53" spans="1:22">
      <c r="A53" s="93" t="s">
        <v>307</v>
      </c>
      <c r="B53" s="77" t="s">
        <v>308</v>
      </c>
      <c r="C53" s="78">
        <v>8.75</v>
      </c>
      <c r="D53" s="78">
        <v>6.69</v>
      </c>
      <c r="E53" s="2">
        <f t="shared" si="16"/>
        <v>0.76457142857142857</v>
      </c>
      <c r="F53" s="3">
        <v>41.95</v>
      </c>
      <c r="G53" s="78">
        <v>5.38</v>
      </c>
      <c r="H53" s="78">
        <f t="shared" si="15"/>
        <v>7.7973977695167296</v>
      </c>
      <c r="I53" s="78">
        <v>2.2000000000000002</v>
      </c>
      <c r="J53" s="78">
        <v>19.07</v>
      </c>
      <c r="K53" s="3">
        <v>389</v>
      </c>
      <c r="L53" s="3">
        <v>239.39</v>
      </c>
      <c r="M53" s="78">
        <v>9.4600000000000009</v>
      </c>
      <c r="N53" s="79">
        <f t="shared" si="13"/>
        <v>3.9517105977693312E-2</v>
      </c>
      <c r="O53">
        <v>0.62</v>
      </c>
      <c r="P53" s="3">
        <f t="shared" si="14"/>
        <v>16.015191000000002</v>
      </c>
      <c r="Q53" s="2">
        <v>8.2000000000000003E-2</v>
      </c>
      <c r="R53" s="78">
        <v>2.4500000000000002</v>
      </c>
      <c r="S53" s="78">
        <v>10.130000000000001</v>
      </c>
      <c r="T53" s="80" t="s">
        <v>226</v>
      </c>
      <c r="U53" s="2">
        <v>0.6</v>
      </c>
      <c r="V53" s="80" t="s">
        <v>227</v>
      </c>
    </row>
    <row r="54" spans="1:22">
      <c r="A54" s="93" t="s">
        <v>309</v>
      </c>
      <c r="B54" s="77" t="s">
        <v>310</v>
      </c>
      <c r="C54" s="78">
        <v>6.1</v>
      </c>
      <c r="D54" s="78">
        <v>4.78</v>
      </c>
      <c r="E54" s="2">
        <f t="shared" si="16"/>
        <v>0.78360655737704932</v>
      </c>
      <c r="F54" s="3">
        <v>39.31</v>
      </c>
      <c r="G54" s="78">
        <v>5.22</v>
      </c>
      <c r="H54" s="78">
        <f t="shared" si="15"/>
        <v>7.5306513409961697</v>
      </c>
      <c r="I54" s="78">
        <v>1.9</v>
      </c>
      <c r="J54" s="78">
        <v>20.72</v>
      </c>
      <c r="K54" s="3">
        <v>525</v>
      </c>
      <c r="L54" s="3">
        <v>238.11</v>
      </c>
      <c r="M54" s="78">
        <v>4.71</v>
      </c>
      <c r="N54" s="79">
        <f t="shared" si="13"/>
        <v>1.9780773592037292E-2</v>
      </c>
      <c r="O54">
        <v>0.45</v>
      </c>
      <c r="P54" s="3">
        <f t="shared" si="14"/>
        <v>11.381658000000002</v>
      </c>
      <c r="Q54" s="2">
        <v>0.15</v>
      </c>
      <c r="R54" s="78">
        <v>0.85</v>
      </c>
      <c r="S54" s="78">
        <v>4.25</v>
      </c>
      <c r="T54" s="80" t="s">
        <v>226</v>
      </c>
      <c r="U54" s="2">
        <v>0.6</v>
      </c>
      <c r="V54" s="80" t="s">
        <v>227</v>
      </c>
    </row>
    <row r="55" spans="1:22">
      <c r="A55" s="93" t="s">
        <v>311</v>
      </c>
      <c r="B55" s="77" t="s">
        <v>312</v>
      </c>
      <c r="C55" s="78">
        <v>5.55</v>
      </c>
      <c r="D55" s="78">
        <v>4.4400000000000004</v>
      </c>
      <c r="E55" s="2">
        <f t="shared" si="16"/>
        <v>0.8</v>
      </c>
      <c r="F55" s="3">
        <v>41.45</v>
      </c>
      <c r="G55" s="78">
        <v>5.67</v>
      </c>
      <c r="H55" s="78">
        <f t="shared" si="15"/>
        <v>7.3104056437389779</v>
      </c>
      <c r="I55" s="78">
        <v>1.67</v>
      </c>
      <c r="J55" s="78">
        <v>24.87</v>
      </c>
      <c r="K55" s="3">
        <v>557</v>
      </c>
      <c r="L55" s="3">
        <v>208.89</v>
      </c>
      <c r="M55" s="78">
        <v>7.26</v>
      </c>
      <c r="N55" s="79">
        <f t="shared" si="13"/>
        <v>3.4755134281200632E-2</v>
      </c>
      <c r="O55">
        <v>0.38</v>
      </c>
      <c r="P55" s="3">
        <f t="shared" si="14"/>
        <v>9.2747159999999997</v>
      </c>
      <c r="Q55" s="2">
        <v>0.15</v>
      </c>
      <c r="R55" s="78">
        <v>0.48</v>
      </c>
      <c r="S55" s="78">
        <v>4.49</v>
      </c>
      <c r="T55" s="80" t="s">
        <v>226</v>
      </c>
      <c r="U55" s="2">
        <v>0.6</v>
      </c>
      <c r="V55" s="80" t="s">
        <v>227</v>
      </c>
    </row>
    <row r="56" spans="1:22">
      <c r="A56" s="94" t="s">
        <v>313</v>
      </c>
      <c r="B56" s="81" t="s">
        <v>314</v>
      </c>
      <c r="C56" s="78">
        <v>9.42</v>
      </c>
      <c r="D56" s="78">
        <v>7.62</v>
      </c>
      <c r="E56" s="2">
        <f t="shared" si="16"/>
        <v>0.80891719745222934</v>
      </c>
      <c r="F56" s="3">
        <v>43.9</v>
      </c>
      <c r="G56" s="78">
        <v>6.8</v>
      </c>
      <c r="H56" s="78">
        <f t="shared" si="15"/>
        <v>6.4558823529411766</v>
      </c>
      <c r="I56" s="78">
        <v>5.6</v>
      </c>
      <c r="J56" s="78">
        <v>7.84</v>
      </c>
      <c r="K56" s="3">
        <v>492</v>
      </c>
      <c r="L56" s="3">
        <v>461.19</v>
      </c>
      <c r="M56" s="78">
        <v>31.2</v>
      </c>
      <c r="N56" s="79">
        <f t="shared" si="13"/>
        <v>6.7651076562804918E-2</v>
      </c>
      <c r="O56">
        <v>0.94</v>
      </c>
      <c r="P56" s="3">
        <f t="shared" si="14"/>
        <v>35.142678000000004</v>
      </c>
      <c r="Q56" s="2">
        <v>0.16</v>
      </c>
      <c r="R56" s="78">
        <v>0.81</v>
      </c>
      <c r="S56" s="78">
        <v>3.7</v>
      </c>
      <c r="T56" s="80" t="s">
        <v>226</v>
      </c>
      <c r="U56" s="2">
        <v>0.67</v>
      </c>
      <c r="V56" s="80" t="s">
        <v>227</v>
      </c>
    </row>
    <row r="57" spans="1:22">
      <c r="A57" s="94" t="s">
        <v>315</v>
      </c>
      <c r="B57" s="81" t="s">
        <v>316</v>
      </c>
      <c r="C57" s="78">
        <v>8.6300000000000008</v>
      </c>
      <c r="D57" s="78">
        <v>7.3</v>
      </c>
      <c r="E57" s="2">
        <f t="shared" si="16"/>
        <v>0.84588644264194657</v>
      </c>
      <c r="F57" s="3">
        <v>55.1</v>
      </c>
      <c r="G57" s="78">
        <v>8.6199999999999992</v>
      </c>
      <c r="H57" s="78">
        <f t="shared" si="15"/>
        <v>6.3921113689095135</v>
      </c>
      <c r="I57" s="78">
        <v>3.46</v>
      </c>
      <c r="J57" s="78">
        <v>15.92</v>
      </c>
      <c r="K57" s="3">
        <v>508</v>
      </c>
      <c r="L57" s="3">
        <v>454.28</v>
      </c>
      <c r="M57" s="78">
        <v>19.41</v>
      </c>
      <c r="N57" s="79">
        <f t="shared" si="13"/>
        <v>4.2726952540283532E-2</v>
      </c>
      <c r="O57">
        <v>0.89</v>
      </c>
      <c r="P57" s="3">
        <f t="shared" si="14"/>
        <v>33.162439999999997</v>
      </c>
      <c r="Q57" s="2">
        <v>0.11</v>
      </c>
      <c r="R57" s="78">
        <v>3.32</v>
      </c>
      <c r="S57" s="78">
        <v>11.2</v>
      </c>
      <c r="T57" s="80" t="s">
        <v>226</v>
      </c>
      <c r="U57" s="2">
        <v>0.63</v>
      </c>
      <c r="V57" s="80" t="s">
        <v>227</v>
      </c>
    </row>
    <row r="58" spans="1:22">
      <c r="A58" s="93" t="s">
        <v>317</v>
      </c>
      <c r="B58" s="77" t="s">
        <v>318</v>
      </c>
      <c r="C58" s="78">
        <v>88.49</v>
      </c>
      <c r="D58" s="78">
        <v>84.92</v>
      </c>
      <c r="E58" s="2">
        <f t="shared" si="16"/>
        <v>0.95965645835687652</v>
      </c>
      <c r="F58" s="3">
        <v>50.68</v>
      </c>
      <c r="G58" s="78">
        <v>7.43</v>
      </c>
      <c r="H58" s="78">
        <f t="shared" si="15"/>
        <v>6.8209959623149397</v>
      </c>
      <c r="I58" s="78">
        <v>1.9</v>
      </c>
      <c r="J58" s="78">
        <v>26.63</v>
      </c>
      <c r="K58" s="3">
        <v>590</v>
      </c>
      <c r="L58" s="3">
        <v>318.92</v>
      </c>
      <c r="M58" s="78">
        <v>10.91</v>
      </c>
      <c r="N58" s="79">
        <f t="shared" si="13"/>
        <v>3.4209206070487892E-2</v>
      </c>
      <c r="O58">
        <v>0.54</v>
      </c>
      <c r="P58" s="3">
        <f t="shared" si="14"/>
        <v>270.826864</v>
      </c>
      <c r="Q58" s="2">
        <v>0.13</v>
      </c>
      <c r="R58" s="78">
        <v>0.12</v>
      </c>
      <c r="S58" s="78">
        <v>5.3</v>
      </c>
      <c r="T58" s="80" t="s">
        <v>226</v>
      </c>
      <c r="U58" s="2">
        <v>0.56000000000000005</v>
      </c>
      <c r="V58" s="80" t="s">
        <v>227</v>
      </c>
    </row>
    <row r="59" spans="1:22">
      <c r="A59" s="93" t="s">
        <v>319</v>
      </c>
      <c r="B59" s="77" t="s">
        <v>320</v>
      </c>
      <c r="C59" s="78">
        <v>92.42</v>
      </c>
      <c r="D59" s="78">
        <v>88.6</v>
      </c>
      <c r="E59" s="2">
        <f t="shared" si="16"/>
        <v>0.95866695520450107</v>
      </c>
      <c r="F59" s="3">
        <v>59.98</v>
      </c>
      <c r="G59" s="78">
        <v>8.51</v>
      </c>
      <c r="H59" s="78">
        <f t="shared" si="15"/>
        <v>7.0481786133960043</v>
      </c>
      <c r="I59" s="78">
        <v>2.54</v>
      </c>
      <c r="J59" s="78">
        <v>23.65</v>
      </c>
      <c r="K59" s="3">
        <v>762</v>
      </c>
      <c r="L59" s="3">
        <v>215.16</v>
      </c>
      <c r="M59" s="78">
        <v>12.47</v>
      </c>
      <c r="N59" s="79">
        <f t="shared" si="13"/>
        <v>5.7956869306562561E-2</v>
      </c>
      <c r="O59">
        <v>0.28000000000000003</v>
      </c>
      <c r="P59" s="3">
        <f t="shared" si="14"/>
        <v>190.63175999999999</v>
      </c>
      <c r="Q59" s="2">
        <v>0.09</v>
      </c>
      <c r="R59" s="78">
        <v>1.8</v>
      </c>
      <c r="S59" s="78">
        <v>7.36</v>
      </c>
      <c r="T59" s="80" t="s">
        <v>226</v>
      </c>
      <c r="U59" s="2">
        <v>0.56000000000000005</v>
      </c>
      <c r="V59" s="80" t="s">
        <v>227</v>
      </c>
    </row>
    <row r="60" spans="1:22">
      <c r="A60" s="93" t="s">
        <v>321</v>
      </c>
      <c r="B60" s="77" t="s">
        <v>322</v>
      </c>
      <c r="C60" s="78">
        <v>92.62</v>
      </c>
      <c r="D60" s="78">
        <v>87.55</v>
      </c>
      <c r="E60" s="2">
        <f t="shared" si="16"/>
        <v>0.94526020297991786</v>
      </c>
      <c r="F60" s="3">
        <v>58.83</v>
      </c>
      <c r="G60" s="78">
        <v>8.69</v>
      </c>
      <c r="H60" s="78">
        <f t="shared" si="15"/>
        <v>6.7698504027617954</v>
      </c>
      <c r="I60" s="78">
        <v>2.8</v>
      </c>
      <c r="J60" s="78">
        <v>21.01</v>
      </c>
      <c r="K60" s="3">
        <v>772</v>
      </c>
      <c r="L60" s="3">
        <v>646.29999999999995</v>
      </c>
      <c r="M60" s="78">
        <v>7.39</v>
      </c>
      <c r="N60" s="79">
        <f t="shared" si="13"/>
        <v>1.1434318427974625E-2</v>
      </c>
      <c r="O60">
        <v>0.84</v>
      </c>
      <c r="P60" s="3">
        <f t="shared" si="14"/>
        <v>565.83564999999999</v>
      </c>
      <c r="Q60" s="2">
        <v>0.09</v>
      </c>
      <c r="R60" s="78">
        <v>2.9</v>
      </c>
      <c r="S60" s="78">
        <v>7.57</v>
      </c>
      <c r="T60" s="80" t="s">
        <v>226</v>
      </c>
      <c r="U60" s="2">
        <v>0.56000000000000005</v>
      </c>
      <c r="V60" s="80" t="s">
        <v>227</v>
      </c>
    </row>
    <row r="61" spans="1:22">
      <c r="A61" s="93" t="s">
        <v>323</v>
      </c>
      <c r="B61" s="77" t="s">
        <v>324</v>
      </c>
      <c r="C61" s="78">
        <v>17.010000000000002</v>
      </c>
      <c r="D61" s="78">
        <v>15.62</v>
      </c>
      <c r="E61" s="2">
        <f t="shared" si="16"/>
        <v>0.91828336272780708</v>
      </c>
      <c r="F61" s="3">
        <v>46.5</v>
      </c>
      <c r="G61" s="78">
        <v>6.3</v>
      </c>
      <c r="H61" s="78">
        <f t="shared" si="15"/>
        <v>7.3809523809523814</v>
      </c>
      <c r="I61" s="78">
        <v>2.8</v>
      </c>
      <c r="J61" s="78">
        <v>16.61</v>
      </c>
      <c r="K61" s="3">
        <v>469</v>
      </c>
      <c r="L61" s="3">
        <v>238.25</v>
      </c>
      <c r="M61" s="78">
        <v>16.309999999999999</v>
      </c>
      <c r="N61" s="79">
        <f t="shared" si="13"/>
        <v>6.845750262329485E-2</v>
      </c>
      <c r="O61">
        <v>0.51</v>
      </c>
      <c r="P61" s="3">
        <f t="shared" si="14"/>
        <v>37.214649999999999</v>
      </c>
      <c r="Q61" s="2">
        <v>0.09</v>
      </c>
      <c r="R61" s="78">
        <v>0.51</v>
      </c>
      <c r="S61" s="78">
        <v>5.6</v>
      </c>
      <c r="T61" s="80" t="s">
        <v>226</v>
      </c>
      <c r="U61" s="2">
        <v>0.55000000000000004</v>
      </c>
      <c r="V61" s="80" t="s">
        <v>227</v>
      </c>
    </row>
    <row r="62" spans="1:22">
      <c r="A62" s="93" t="s">
        <v>325</v>
      </c>
      <c r="B62" s="77" t="s">
        <v>326</v>
      </c>
      <c r="C62" s="78">
        <v>23.22</v>
      </c>
      <c r="D62" s="78">
        <v>20.79</v>
      </c>
      <c r="E62" s="2">
        <f t="shared" si="16"/>
        <v>0.89534883720930236</v>
      </c>
      <c r="F62" s="3">
        <v>44.79</v>
      </c>
      <c r="G62" s="78">
        <v>5.77</v>
      </c>
      <c r="H62" s="78">
        <f t="shared" si="15"/>
        <v>7.7625649913344894</v>
      </c>
      <c r="I62" s="78">
        <v>3.08</v>
      </c>
      <c r="J62" s="78">
        <v>14.56</v>
      </c>
      <c r="K62" s="3">
        <v>525</v>
      </c>
      <c r="L62" s="3">
        <v>252.58</v>
      </c>
      <c r="M62" s="78">
        <v>26.03</v>
      </c>
      <c r="N62" s="79">
        <f t="shared" si="13"/>
        <v>0.10305645736004435</v>
      </c>
      <c r="O62">
        <v>0.48</v>
      </c>
      <c r="P62" s="3">
        <f t="shared" si="14"/>
        <v>52.511382000000005</v>
      </c>
      <c r="Q62" s="2">
        <v>0.13</v>
      </c>
      <c r="R62" s="78">
        <v>1.93</v>
      </c>
      <c r="S62" s="78">
        <v>6.87</v>
      </c>
      <c r="T62" s="80" t="s">
        <v>226</v>
      </c>
      <c r="U62" s="2">
        <v>0.55000000000000004</v>
      </c>
      <c r="V62" s="80" t="s">
        <v>227</v>
      </c>
    </row>
    <row r="63" spans="1:22">
      <c r="A63" s="93" t="s">
        <v>327</v>
      </c>
      <c r="B63" s="77"/>
      <c r="C63" s="78">
        <v>3</v>
      </c>
      <c r="D63" s="78"/>
      <c r="E63" s="2">
        <v>0.8</v>
      </c>
      <c r="F63" s="3"/>
      <c r="G63" s="78"/>
      <c r="H63" s="78"/>
      <c r="I63" s="78"/>
      <c r="J63" s="78"/>
      <c r="K63" s="3"/>
      <c r="L63" s="3">
        <v>300</v>
      </c>
      <c r="M63" s="78"/>
      <c r="N63" s="79"/>
      <c r="P63" s="3"/>
      <c r="Q63" s="2"/>
      <c r="R63" s="78"/>
      <c r="S63" s="78"/>
      <c r="T63" s="80" t="s">
        <v>244</v>
      </c>
      <c r="U63" s="2"/>
      <c r="V63" s="80"/>
    </row>
    <row r="64" spans="1:22">
      <c r="A64" s="93" t="s">
        <v>328</v>
      </c>
      <c r="B64" s="77" t="s">
        <v>329</v>
      </c>
      <c r="C64" s="78">
        <v>8.44</v>
      </c>
      <c r="D64" s="78">
        <v>6.76</v>
      </c>
      <c r="E64" s="2">
        <f t="shared" ref="E64:E77" si="17">D64/C64</f>
        <v>0.80094786729857825</v>
      </c>
      <c r="F64" s="3">
        <v>42.49</v>
      </c>
      <c r="G64" s="78">
        <v>5.78</v>
      </c>
      <c r="H64" s="78">
        <f t="shared" ref="H64:H77" si="18">F64/G64</f>
        <v>7.35121107266436</v>
      </c>
      <c r="I64" s="78">
        <v>2.63</v>
      </c>
      <c r="J64" s="78">
        <v>16.149999999999999</v>
      </c>
      <c r="K64" s="3">
        <v>529</v>
      </c>
      <c r="L64" s="3">
        <v>310.79000000000002</v>
      </c>
      <c r="M64" s="78">
        <v>6.08</v>
      </c>
      <c r="N64" s="79">
        <f t="shared" ref="N64:N77" si="19">M64/L64</f>
        <v>1.956304900415071E-2</v>
      </c>
      <c r="O64">
        <v>0.59</v>
      </c>
      <c r="P64" s="3">
        <f t="shared" ref="P64:P77" si="20">L64*D64/100</f>
        <v>21.009404</v>
      </c>
      <c r="Q64" s="2">
        <v>9.2999999999999999E-2</v>
      </c>
      <c r="R64" s="78">
        <v>1.62</v>
      </c>
      <c r="S64" s="78">
        <v>7.44</v>
      </c>
      <c r="T64" s="80" t="s">
        <v>226</v>
      </c>
      <c r="U64" s="2">
        <v>0.6</v>
      </c>
      <c r="V64" s="80" t="s">
        <v>227</v>
      </c>
    </row>
    <row r="65" spans="1:22">
      <c r="A65" s="93" t="s">
        <v>330</v>
      </c>
      <c r="B65" s="77" t="s">
        <v>331</v>
      </c>
      <c r="C65" s="78">
        <v>10.65</v>
      </c>
      <c r="D65" s="78">
        <v>9.99</v>
      </c>
      <c r="E65" s="2">
        <f t="shared" si="17"/>
        <v>0.93802816901408448</v>
      </c>
      <c r="F65" s="3">
        <v>41.1</v>
      </c>
      <c r="G65" s="78">
        <v>5.65</v>
      </c>
      <c r="H65" s="78">
        <f t="shared" si="18"/>
        <v>7.2743362831858409</v>
      </c>
      <c r="I65" s="78">
        <v>1.8</v>
      </c>
      <c r="J65" s="78">
        <v>22.83</v>
      </c>
      <c r="K65" s="3">
        <v>416</v>
      </c>
      <c r="L65" s="3">
        <v>398.61</v>
      </c>
      <c r="M65" s="78">
        <v>8.6199999999999992</v>
      </c>
      <c r="N65" s="79">
        <f t="shared" si="19"/>
        <v>2.1625147387170415E-2</v>
      </c>
      <c r="O65">
        <v>0.96</v>
      </c>
      <c r="P65" s="3">
        <f t="shared" si="20"/>
        <v>39.821139000000002</v>
      </c>
      <c r="Q65" s="2">
        <v>0.13</v>
      </c>
      <c r="R65" s="78">
        <v>1</v>
      </c>
      <c r="S65" s="78">
        <v>5.2</v>
      </c>
      <c r="T65" s="80" t="s">
        <v>226</v>
      </c>
      <c r="U65" s="2">
        <v>0.52</v>
      </c>
      <c r="V65" s="80" t="s">
        <v>227</v>
      </c>
    </row>
    <row r="66" spans="1:22">
      <c r="A66" s="93" t="s">
        <v>332</v>
      </c>
      <c r="B66" s="77" t="s">
        <v>333</v>
      </c>
      <c r="C66" s="78">
        <v>23.83</v>
      </c>
      <c r="D66" s="78">
        <v>20.8</v>
      </c>
      <c r="E66" s="2">
        <f t="shared" si="17"/>
        <v>0.87284934955937898</v>
      </c>
      <c r="F66" s="3">
        <v>42.18</v>
      </c>
      <c r="G66" s="78">
        <v>5.81</v>
      </c>
      <c r="H66" s="78">
        <f t="shared" si="18"/>
        <v>7.2598967297762487</v>
      </c>
      <c r="I66" s="78">
        <v>2.35</v>
      </c>
      <c r="J66" s="78">
        <v>17.95</v>
      </c>
      <c r="K66" s="3">
        <v>503</v>
      </c>
      <c r="L66" s="3">
        <v>311.25</v>
      </c>
      <c r="M66" s="78">
        <v>4.8</v>
      </c>
      <c r="N66" s="79">
        <f t="shared" si="19"/>
        <v>1.5421686746987951E-2</v>
      </c>
      <c r="O66">
        <v>0.62</v>
      </c>
      <c r="P66" s="3">
        <f t="shared" si="20"/>
        <v>64.739999999999995</v>
      </c>
      <c r="Q66" s="2">
        <v>0.11</v>
      </c>
      <c r="R66" s="78">
        <v>1.28</v>
      </c>
      <c r="S66" s="78">
        <v>6.57</v>
      </c>
      <c r="T66" s="80" t="s">
        <v>226</v>
      </c>
      <c r="U66" s="2">
        <v>0.55000000000000004</v>
      </c>
      <c r="V66" s="80" t="s">
        <v>227</v>
      </c>
    </row>
    <row r="67" spans="1:22">
      <c r="A67" s="93" t="s">
        <v>334</v>
      </c>
      <c r="B67" s="77" t="s">
        <v>335</v>
      </c>
      <c r="C67" s="78">
        <v>16.64</v>
      </c>
      <c r="D67" s="78">
        <v>14.84</v>
      </c>
      <c r="E67" s="2">
        <f t="shared" si="17"/>
        <v>0.89182692307692302</v>
      </c>
      <c r="F67" s="3">
        <v>48.32</v>
      </c>
      <c r="G67" s="78">
        <v>6.85</v>
      </c>
      <c r="H67" s="78">
        <f t="shared" si="18"/>
        <v>7.0540145985401468</v>
      </c>
      <c r="I67" s="78">
        <v>4.09</v>
      </c>
      <c r="J67" s="78">
        <v>11.81</v>
      </c>
      <c r="K67" s="3">
        <v>481</v>
      </c>
      <c r="L67" s="3">
        <v>336.45</v>
      </c>
      <c r="M67" s="78">
        <v>15.74</v>
      </c>
      <c r="N67" s="79">
        <f t="shared" si="19"/>
        <v>4.6782582850349239E-2</v>
      </c>
      <c r="O67">
        <v>0.7</v>
      </c>
      <c r="P67" s="3">
        <f t="shared" si="20"/>
        <v>49.929179999999995</v>
      </c>
      <c r="Q67" s="2">
        <v>0.15</v>
      </c>
      <c r="R67" s="78">
        <v>0.6</v>
      </c>
      <c r="S67" s="78">
        <v>5.5</v>
      </c>
      <c r="T67" s="80" t="s">
        <v>226</v>
      </c>
      <c r="U67" s="2">
        <v>0.65</v>
      </c>
      <c r="V67" s="80" t="s">
        <v>242</v>
      </c>
    </row>
    <row r="68" spans="1:22">
      <c r="A68" s="93" t="s">
        <v>336</v>
      </c>
      <c r="B68" s="77" t="s">
        <v>337</v>
      </c>
      <c r="C68" s="78">
        <v>19.62</v>
      </c>
      <c r="D68" s="78">
        <v>18.11</v>
      </c>
      <c r="E68" s="2">
        <f t="shared" si="17"/>
        <v>0.92303771661569822</v>
      </c>
      <c r="F68" s="3">
        <v>57.3</v>
      </c>
      <c r="G68" s="78">
        <v>8.4</v>
      </c>
      <c r="H68" s="78">
        <f t="shared" si="18"/>
        <v>6.8214285714285712</v>
      </c>
      <c r="I68" s="78">
        <v>3</v>
      </c>
      <c r="J68" s="78">
        <v>19.100000000000001</v>
      </c>
      <c r="K68" s="3">
        <v>683</v>
      </c>
      <c r="L68" s="3">
        <v>403.54</v>
      </c>
      <c r="M68" s="78">
        <v>18.78</v>
      </c>
      <c r="N68" s="79">
        <f t="shared" si="19"/>
        <v>4.6538137483273033E-2</v>
      </c>
      <c r="O68">
        <v>0.59</v>
      </c>
      <c r="P68" s="3">
        <f t="shared" si="20"/>
        <v>73.081094000000007</v>
      </c>
      <c r="Q68" s="2">
        <v>0.18</v>
      </c>
      <c r="R68" s="78">
        <v>0.98</v>
      </c>
      <c r="S68" s="78">
        <v>5.3</v>
      </c>
      <c r="T68" s="80" t="s">
        <v>226</v>
      </c>
      <c r="U68" s="2">
        <v>0.65</v>
      </c>
      <c r="V68" s="80" t="s">
        <v>227</v>
      </c>
    </row>
    <row r="69" spans="1:22">
      <c r="A69" s="93" t="s">
        <v>338</v>
      </c>
      <c r="B69" s="77" t="s">
        <v>339</v>
      </c>
      <c r="C69" s="78">
        <v>5.42</v>
      </c>
      <c r="D69" s="78">
        <v>4.16</v>
      </c>
      <c r="E69" s="2">
        <f t="shared" si="17"/>
        <v>0.76752767527675281</v>
      </c>
      <c r="F69" s="3">
        <v>39.65</v>
      </c>
      <c r="G69" s="78">
        <v>5.22</v>
      </c>
      <c r="H69" s="78">
        <f t="shared" si="18"/>
        <v>7.5957854406130272</v>
      </c>
      <c r="I69" s="78">
        <v>2.97</v>
      </c>
      <c r="J69" s="78">
        <v>13.35</v>
      </c>
      <c r="K69" s="3">
        <v>330</v>
      </c>
      <c r="L69" s="3">
        <v>99.29</v>
      </c>
      <c r="M69" s="78">
        <v>8.7899999999999991</v>
      </c>
      <c r="N69" s="79">
        <f t="shared" si="19"/>
        <v>8.8528552724342818E-2</v>
      </c>
      <c r="O69">
        <v>0.3</v>
      </c>
      <c r="P69" s="3">
        <f t="shared" si="20"/>
        <v>4.1304640000000008</v>
      </c>
      <c r="Q69" s="2">
        <v>7.0000000000000007E-2</v>
      </c>
      <c r="R69" s="78">
        <v>1.98</v>
      </c>
      <c r="S69" s="78">
        <v>5.1100000000000003</v>
      </c>
      <c r="T69" s="80" t="s">
        <v>226</v>
      </c>
      <c r="U69" s="2">
        <v>0.62</v>
      </c>
      <c r="V69" s="80" t="s">
        <v>227</v>
      </c>
    </row>
    <row r="70" spans="1:22">
      <c r="A70" s="93" t="s">
        <v>340</v>
      </c>
      <c r="B70" s="77" t="s">
        <v>341</v>
      </c>
      <c r="C70" s="78">
        <v>22.16</v>
      </c>
      <c r="D70" s="78">
        <v>20.420000000000002</v>
      </c>
      <c r="E70" s="2">
        <f t="shared" si="17"/>
        <v>0.92148014440433224</v>
      </c>
      <c r="F70" s="3">
        <v>43.8</v>
      </c>
      <c r="G70" s="78">
        <v>5.91</v>
      </c>
      <c r="H70" s="78">
        <f t="shared" si="18"/>
        <v>7.4111675126903549</v>
      </c>
      <c r="I70" s="78">
        <v>1.08</v>
      </c>
      <c r="J70" s="78">
        <v>40.43</v>
      </c>
      <c r="K70" s="3">
        <v>598</v>
      </c>
      <c r="L70" s="3">
        <v>315.56</v>
      </c>
      <c r="M70" s="78">
        <v>20.46</v>
      </c>
      <c r="N70" s="79">
        <f t="shared" si="19"/>
        <v>6.483711497021169E-2</v>
      </c>
      <c r="O70">
        <v>0.53</v>
      </c>
      <c r="P70" s="3">
        <f t="shared" si="20"/>
        <v>64.437352000000004</v>
      </c>
      <c r="Q70" s="2">
        <v>0.11</v>
      </c>
      <c r="R70" s="78">
        <v>0.79</v>
      </c>
      <c r="S70" s="78">
        <v>6.04</v>
      </c>
      <c r="T70" s="80" t="s">
        <v>226</v>
      </c>
      <c r="U70" s="2">
        <v>0.55000000000000004</v>
      </c>
      <c r="V70" s="80" t="s">
        <v>227</v>
      </c>
    </row>
    <row r="71" spans="1:22">
      <c r="A71" s="93" t="s">
        <v>342</v>
      </c>
      <c r="B71" s="77" t="s">
        <v>343</v>
      </c>
      <c r="C71" s="78">
        <v>24.96</v>
      </c>
      <c r="D71" s="78">
        <v>23.14</v>
      </c>
      <c r="E71" s="2">
        <f t="shared" si="17"/>
        <v>0.92708333333333337</v>
      </c>
      <c r="F71" s="3">
        <v>44.3</v>
      </c>
      <c r="G71" s="78">
        <v>5.96</v>
      </c>
      <c r="H71" s="78">
        <f t="shared" si="18"/>
        <v>7.4328859060402683</v>
      </c>
      <c r="I71" s="78">
        <v>1.27</v>
      </c>
      <c r="J71" s="78">
        <v>34.97</v>
      </c>
      <c r="K71" s="3">
        <v>477</v>
      </c>
      <c r="L71" s="3">
        <v>376.99</v>
      </c>
      <c r="M71" s="78">
        <v>6.19</v>
      </c>
      <c r="N71" s="79">
        <f t="shared" si="19"/>
        <v>1.641953367463328E-2</v>
      </c>
      <c r="O71">
        <v>0.79</v>
      </c>
      <c r="P71" s="3">
        <f t="shared" si="20"/>
        <v>87.235485999999995</v>
      </c>
      <c r="Q71" s="2">
        <v>0.153</v>
      </c>
      <c r="R71" s="78">
        <v>0.08</v>
      </c>
      <c r="S71" s="78">
        <v>4.8</v>
      </c>
      <c r="T71" s="80" t="s">
        <v>226</v>
      </c>
      <c r="U71" s="2">
        <v>0.55000000000000004</v>
      </c>
      <c r="V71" s="80" t="s">
        <v>227</v>
      </c>
    </row>
    <row r="72" spans="1:22">
      <c r="A72" s="93" t="s">
        <v>344</v>
      </c>
      <c r="B72" s="77" t="s">
        <v>345</v>
      </c>
      <c r="C72" s="78">
        <v>4.55</v>
      </c>
      <c r="D72" s="78">
        <v>3.09</v>
      </c>
      <c r="E72" s="2">
        <f t="shared" si="17"/>
        <v>0.67912087912087915</v>
      </c>
      <c r="F72" s="3">
        <v>34.76</v>
      </c>
      <c r="G72" s="78">
        <v>4.79</v>
      </c>
      <c r="H72" s="78">
        <f t="shared" si="18"/>
        <v>7.2567849686847596</v>
      </c>
      <c r="I72" s="78">
        <v>5.0199999999999996</v>
      </c>
      <c r="J72" s="78">
        <v>6.92</v>
      </c>
      <c r="K72" s="3">
        <v>599</v>
      </c>
      <c r="L72" s="3">
        <v>553.67999999999995</v>
      </c>
      <c r="M72" s="78">
        <v>14.69</v>
      </c>
      <c r="N72" s="79">
        <f t="shared" si="19"/>
        <v>2.6531570582285797E-2</v>
      </c>
      <c r="O72">
        <v>0.92</v>
      </c>
      <c r="P72" s="3">
        <f t="shared" si="20"/>
        <v>17.108711999999997</v>
      </c>
      <c r="Q72" s="2">
        <v>0.28999999999999998</v>
      </c>
      <c r="R72" s="78">
        <v>0</v>
      </c>
      <c r="S72" s="78">
        <v>2.3199999999999998</v>
      </c>
      <c r="T72" s="80" t="s">
        <v>226</v>
      </c>
      <c r="U72" s="2">
        <v>0.55000000000000004</v>
      </c>
      <c r="V72" s="80" t="s">
        <v>227</v>
      </c>
    </row>
    <row r="73" spans="1:22">
      <c r="A73" s="93" t="s">
        <v>346</v>
      </c>
      <c r="B73" s="77" t="s">
        <v>347</v>
      </c>
      <c r="C73" s="78">
        <v>16.809999999999999</v>
      </c>
      <c r="D73" s="78">
        <v>15.32</v>
      </c>
      <c r="E73" s="2">
        <f t="shared" si="17"/>
        <v>0.91136228435455091</v>
      </c>
      <c r="F73" s="3">
        <v>45.25</v>
      </c>
      <c r="G73" s="78">
        <v>5.95</v>
      </c>
      <c r="H73" s="78">
        <f t="shared" si="18"/>
        <v>7.6050420168067223</v>
      </c>
      <c r="I73" s="78">
        <v>1.48</v>
      </c>
      <c r="J73" s="78">
        <v>30.64</v>
      </c>
      <c r="K73" s="3">
        <v>507</v>
      </c>
      <c r="L73" s="3">
        <v>432.86</v>
      </c>
      <c r="M73" s="78">
        <v>8.59</v>
      </c>
      <c r="N73" s="79">
        <f t="shared" si="19"/>
        <v>1.9844753499976896E-2</v>
      </c>
      <c r="O73">
        <v>0.85</v>
      </c>
      <c r="P73" s="3">
        <f t="shared" si="20"/>
        <v>66.314152000000007</v>
      </c>
      <c r="Q73" s="2">
        <v>0.14699999999999999</v>
      </c>
      <c r="R73" s="78">
        <v>0.11</v>
      </c>
      <c r="S73" s="78">
        <v>4.8499999999999996</v>
      </c>
      <c r="T73" s="80" t="s">
        <v>226</v>
      </c>
      <c r="U73" s="2">
        <v>0.55000000000000004</v>
      </c>
      <c r="V73" s="80" t="s">
        <v>227</v>
      </c>
    </row>
    <row r="74" spans="1:22">
      <c r="A74" s="93" t="s">
        <v>348</v>
      </c>
      <c r="B74" s="77" t="s">
        <v>349</v>
      </c>
      <c r="C74" s="78">
        <v>17.350000000000001</v>
      </c>
      <c r="D74" s="78">
        <v>15.9</v>
      </c>
      <c r="E74" s="2">
        <f t="shared" si="17"/>
        <v>0.91642651296829969</v>
      </c>
      <c r="F74" s="3">
        <v>44.43</v>
      </c>
      <c r="G74" s="78">
        <v>5.94</v>
      </c>
      <c r="H74" s="78">
        <f t="shared" si="18"/>
        <v>7.4797979797979792</v>
      </c>
      <c r="I74" s="78">
        <v>1.75</v>
      </c>
      <c r="J74" s="78">
        <v>25.34</v>
      </c>
      <c r="K74" s="3">
        <v>493</v>
      </c>
      <c r="L74" s="3">
        <v>428.36</v>
      </c>
      <c r="M74" s="78">
        <v>7.79</v>
      </c>
      <c r="N74" s="79">
        <f t="shared" si="19"/>
        <v>1.8185638248202445E-2</v>
      </c>
      <c r="O74">
        <v>0.87</v>
      </c>
      <c r="P74" s="3">
        <f t="shared" si="20"/>
        <v>68.10924</v>
      </c>
      <c r="Q74" s="2">
        <v>0.16600000000000001</v>
      </c>
      <c r="R74" s="78">
        <v>0.15</v>
      </c>
      <c r="S74" s="78">
        <v>4.5</v>
      </c>
      <c r="T74" s="80" t="s">
        <v>226</v>
      </c>
      <c r="U74" s="2">
        <v>0.55000000000000004</v>
      </c>
      <c r="V74" s="80" t="s">
        <v>227</v>
      </c>
    </row>
    <row r="75" spans="1:22">
      <c r="A75" s="93" t="s">
        <v>350</v>
      </c>
      <c r="B75" s="77" t="s">
        <v>351</v>
      </c>
      <c r="C75" s="78">
        <v>68.64</v>
      </c>
      <c r="D75" s="78">
        <v>67.08</v>
      </c>
      <c r="E75" s="2">
        <f t="shared" si="17"/>
        <v>0.97727272727272729</v>
      </c>
      <c r="F75" s="3">
        <v>44.17</v>
      </c>
      <c r="G75" s="78">
        <v>6.32</v>
      </c>
      <c r="H75" s="78">
        <f t="shared" si="18"/>
        <v>6.9889240506329111</v>
      </c>
      <c r="I75" s="78">
        <v>0.64</v>
      </c>
      <c r="J75" s="78">
        <v>69.37</v>
      </c>
      <c r="K75" s="3">
        <v>439</v>
      </c>
      <c r="L75" s="3">
        <v>361.81</v>
      </c>
      <c r="M75" s="78">
        <v>22.81</v>
      </c>
      <c r="N75" s="79">
        <f t="shared" si="19"/>
        <v>6.3044139189077142E-2</v>
      </c>
      <c r="O75">
        <v>0.82</v>
      </c>
      <c r="P75" s="3">
        <f t="shared" si="20"/>
        <v>242.70214799999997</v>
      </c>
      <c r="Q75" s="2">
        <v>0.15</v>
      </c>
      <c r="R75" s="78">
        <v>0.16</v>
      </c>
      <c r="S75" s="78">
        <v>4.5</v>
      </c>
      <c r="T75" s="80" t="s">
        <v>226</v>
      </c>
      <c r="U75" s="2">
        <v>0.52</v>
      </c>
      <c r="V75" s="80" t="s">
        <v>227</v>
      </c>
    </row>
    <row r="76" spans="1:22">
      <c r="A76" s="93" t="s">
        <v>352</v>
      </c>
      <c r="B76" s="77" t="s">
        <v>353</v>
      </c>
      <c r="C76" s="78">
        <v>66.95</v>
      </c>
      <c r="D76" s="78">
        <v>63.7</v>
      </c>
      <c r="E76" s="2">
        <f t="shared" si="17"/>
        <v>0.95145631067961167</v>
      </c>
      <c r="F76" s="3">
        <v>43.92</v>
      </c>
      <c r="G76" s="78">
        <v>6.23</v>
      </c>
      <c r="H76" s="78">
        <f t="shared" si="18"/>
        <v>7.0497592295345104</v>
      </c>
      <c r="I76" s="78">
        <v>1.1499999999999999</v>
      </c>
      <c r="J76" s="78">
        <v>38.19</v>
      </c>
      <c r="K76" s="3">
        <v>446</v>
      </c>
      <c r="L76" s="3">
        <v>340.15</v>
      </c>
      <c r="M76" s="78">
        <v>9.56</v>
      </c>
      <c r="N76" s="79">
        <f t="shared" si="19"/>
        <v>2.8105247684844924E-2</v>
      </c>
      <c r="O76">
        <v>0.76</v>
      </c>
      <c r="P76" s="3">
        <f t="shared" si="20"/>
        <v>216.67555000000002</v>
      </c>
      <c r="Q76" s="2">
        <v>0.15</v>
      </c>
      <c r="R76" s="78">
        <v>0.04</v>
      </c>
      <c r="S76" s="78">
        <v>4.66</v>
      </c>
      <c r="T76" s="80" t="s">
        <v>226</v>
      </c>
      <c r="U76" s="2">
        <v>0.52</v>
      </c>
      <c r="V76" s="80" t="s">
        <v>227</v>
      </c>
    </row>
    <row r="77" spans="1:22">
      <c r="A77" s="93" t="s">
        <v>354</v>
      </c>
      <c r="B77" s="77" t="s">
        <v>355</v>
      </c>
      <c r="C77" s="78">
        <v>54.36</v>
      </c>
      <c r="D77" s="78">
        <v>48.98</v>
      </c>
      <c r="E77" s="2">
        <f t="shared" si="17"/>
        <v>0.90103016924208967</v>
      </c>
      <c r="F77" s="3">
        <v>44.12</v>
      </c>
      <c r="G77" s="78">
        <v>6.51</v>
      </c>
      <c r="H77" s="78">
        <f t="shared" si="18"/>
        <v>6.7772657450076803</v>
      </c>
      <c r="I77" s="78">
        <v>1.45</v>
      </c>
      <c r="J77" s="78">
        <v>30.43</v>
      </c>
      <c r="K77" s="3">
        <v>475</v>
      </c>
      <c r="L77" s="3">
        <v>314.11</v>
      </c>
      <c r="M77" s="78">
        <v>7.61</v>
      </c>
      <c r="N77" s="79">
        <f t="shared" si="19"/>
        <v>2.4227181560599789E-2</v>
      </c>
      <c r="O77">
        <v>0.66</v>
      </c>
      <c r="P77" s="3">
        <f t="shared" si="20"/>
        <v>153.851078</v>
      </c>
      <c r="Q77" s="2">
        <v>0.17</v>
      </c>
      <c r="R77" s="78">
        <v>0.14000000000000001</v>
      </c>
      <c r="S77" s="78">
        <v>3.94</v>
      </c>
      <c r="T77" s="80" t="s">
        <v>226</v>
      </c>
      <c r="U77" s="2">
        <v>0.52</v>
      </c>
      <c r="V77" s="80" t="s">
        <v>227</v>
      </c>
    </row>
    <row r="78" spans="1:22">
      <c r="A78" s="93" t="s">
        <v>356</v>
      </c>
      <c r="B78" s="77"/>
      <c r="C78" s="78">
        <v>1.5</v>
      </c>
      <c r="D78" s="78"/>
      <c r="E78" s="2">
        <v>0.76</v>
      </c>
      <c r="F78" s="3"/>
      <c r="G78" s="78"/>
      <c r="H78" s="78"/>
      <c r="I78" s="78"/>
      <c r="J78" s="78"/>
      <c r="K78" s="3"/>
      <c r="L78" s="3">
        <v>250</v>
      </c>
      <c r="M78" s="78"/>
      <c r="N78" s="79"/>
      <c r="P78" s="3"/>
      <c r="Q78" s="2"/>
      <c r="R78" s="78"/>
      <c r="S78" s="78"/>
      <c r="T78" s="80" t="s">
        <v>244</v>
      </c>
      <c r="U78" s="2"/>
      <c r="V78" s="80"/>
    </row>
    <row r="79" spans="1:22">
      <c r="A79" s="93" t="s">
        <v>357</v>
      </c>
      <c r="B79" s="77" t="s">
        <v>358</v>
      </c>
      <c r="C79" s="78">
        <v>55.79</v>
      </c>
      <c r="D79" s="78">
        <v>53.74</v>
      </c>
      <c r="E79" s="2">
        <f>D79/C79</f>
        <v>0.96325506363147517</v>
      </c>
      <c r="F79" s="3">
        <v>44.38</v>
      </c>
      <c r="G79" s="78">
        <v>5.87</v>
      </c>
      <c r="H79" s="78">
        <f>F79/G79</f>
        <v>7.5604770017035774</v>
      </c>
      <c r="I79" s="78">
        <v>0.6</v>
      </c>
      <c r="J79" s="78">
        <v>73.97</v>
      </c>
      <c r="K79" s="3">
        <v>438</v>
      </c>
      <c r="L79" s="3">
        <v>366.53</v>
      </c>
      <c r="M79" s="78">
        <v>14.8</v>
      </c>
      <c r="N79" s="79">
        <f>M79/L79</f>
        <v>4.0378686601369604E-2</v>
      </c>
      <c r="O79">
        <v>0.84</v>
      </c>
      <c r="P79" s="3">
        <f>L79*D79/100</f>
        <v>196.97322199999999</v>
      </c>
      <c r="Q79" s="2">
        <v>0.19</v>
      </c>
      <c r="R79" s="78">
        <v>0.4</v>
      </c>
      <c r="S79" s="78">
        <v>3.58</v>
      </c>
      <c r="T79" s="80" t="s">
        <v>226</v>
      </c>
      <c r="U79" s="2">
        <v>0.52</v>
      </c>
      <c r="V79" s="80" t="s">
        <v>227</v>
      </c>
    </row>
    <row r="80" spans="1:22">
      <c r="A80" s="93" t="s">
        <v>359</v>
      </c>
      <c r="B80" s="77" t="s">
        <v>360</v>
      </c>
      <c r="C80" s="78">
        <v>63.89</v>
      </c>
      <c r="D80" s="78">
        <v>61.9</v>
      </c>
      <c r="E80" s="2">
        <f>D80/C80</f>
        <v>0.96885271560494601</v>
      </c>
      <c r="F80" s="3">
        <v>44.39</v>
      </c>
      <c r="G80" s="78">
        <v>6.38</v>
      </c>
      <c r="H80" s="78">
        <f>F80/G80</f>
        <v>6.9576802507836994</v>
      </c>
      <c r="I80" s="78">
        <v>0.55000000000000004</v>
      </c>
      <c r="J80" s="78">
        <v>80.7</v>
      </c>
      <c r="K80" s="3">
        <v>450</v>
      </c>
      <c r="L80" s="3">
        <v>281.26</v>
      </c>
      <c r="M80" s="78">
        <v>4.57</v>
      </c>
      <c r="N80" s="79">
        <f>M80/L80</f>
        <v>1.624831117115836E-2</v>
      </c>
      <c r="O80">
        <v>0.63</v>
      </c>
      <c r="P80" s="3">
        <f>L80*D80/100</f>
        <v>174.09993999999998</v>
      </c>
      <c r="Q80" s="2">
        <v>0.15</v>
      </c>
      <c r="R80" s="78">
        <v>0.12</v>
      </c>
      <c r="S80" s="78">
        <v>4.5999999999999996</v>
      </c>
      <c r="T80" s="80" t="s">
        <v>226</v>
      </c>
      <c r="U80" s="2">
        <v>0.53</v>
      </c>
      <c r="V80" s="80" t="s">
        <v>227</v>
      </c>
    </row>
    <row r="81" spans="1:22">
      <c r="A81" s="93" t="s">
        <v>361</v>
      </c>
      <c r="B81" s="77" t="s">
        <v>362</v>
      </c>
      <c r="C81" s="78">
        <v>59.52</v>
      </c>
      <c r="D81" s="78">
        <v>54.07</v>
      </c>
      <c r="E81" s="2">
        <f>D81/C81</f>
        <v>0.90843413978494625</v>
      </c>
      <c r="F81" s="3">
        <v>44.03</v>
      </c>
      <c r="G81" s="78">
        <v>6.42</v>
      </c>
      <c r="H81" s="78">
        <f>F81/G81</f>
        <v>6.8582554517133962</v>
      </c>
      <c r="I81" s="78">
        <v>1.1200000000000001</v>
      </c>
      <c r="J81" s="78">
        <v>39.200000000000003</v>
      </c>
      <c r="K81" s="3">
        <v>505</v>
      </c>
      <c r="L81" s="3">
        <v>354.48</v>
      </c>
      <c r="M81" s="78">
        <v>6.16</v>
      </c>
      <c r="N81" s="79">
        <f>M81/L81</f>
        <v>1.7377567140600316E-2</v>
      </c>
      <c r="O81">
        <v>0.7</v>
      </c>
      <c r="P81" s="3">
        <f>L81*D81/100</f>
        <v>191.66733600000001</v>
      </c>
      <c r="Q81" s="2">
        <v>0.18</v>
      </c>
      <c r="R81" s="78">
        <v>0.48</v>
      </c>
      <c r="S81" s="78">
        <v>4.01</v>
      </c>
      <c r="T81" s="80" t="s">
        <v>226</v>
      </c>
      <c r="U81" s="2">
        <v>0.52</v>
      </c>
      <c r="V81" s="80" t="s">
        <v>227</v>
      </c>
    </row>
    <row r="82" spans="1:22">
      <c r="A82" s="93" t="s">
        <v>363</v>
      </c>
      <c r="B82" s="77" t="s">
        <v>364</v>
      </c>
      <c r="C82" s="78">
        <v>22.62</v>
      </c>
      <c r="D82" s="78">
        <v>22.08</v>
      </c>
      <c r="E82" s="2">
        <f>D82/C82</f>
        <v>0.97612732095490706</v>
      </c>
      <c r="F82" s="3">
        <v>42.05</v>
      </c>
      <c r="G82" s="78">
        <v>6.15</v>
      </c>
      <c r="H82" s="78">
        <f>F82/G82</f>
        <v>6.8373983739837394</v>
      </c>
      <c r="I82" s="78">
        <v>0.65</v>
      </c>
      <c r="J82" s="78">
        <v>65.02</v>
      </c>
      <c r="K82" s="3">
        <v>407</v>
      </c>
      <c r="L82" s="3">
        <v>344.18</v>
      </c>
      <c r="M82" s="78">
        <v>12.36</v>
      </c>
      <c r="N82" s="79">
        <f>M82/L82</f>
        <v>3.5911441687489103E-2</v>
      </c>
      <c r="O82">
        <v>0.85</v>
      </c>
      <c r="P82" s="3">
        <f>L82*D82/100</f>
        <v>75.99494399999999</v>
      </c>
      <c r="Q82" s="2">
        <v>0.28999999999999998</v>
      </c>
      <c r="R82" s="78">
        <v>0.47</v>
      </c>
      <c r="S82" s="78">
        <v>2.36</v>
      </c>
      <c r="T82" s="80" t="s">
        <v>226</v>
      </c>
      <c r="U82" s="2">
        <v>0.55000000000000004</v>
      </c>
      <c r="V82" s="80" t="s">
        <v>227</v>
      </c>
    </row>
    <row r="83" spans="1:22">
      <c r="A83" s="93" t="s">
        <v>365</v>
      </c>
      <c r="B83" s="77" t="s">
        <v>364</v>
      </c>
      <c r="C83" s="78">
        <v>12.06</v>
      </c>
      <c r="D83" s="78">
        <v>9.67</v>
      </c>
      <c r="E83" s="2">
        <f>D83/C83</f>
        <v>0.80182421227197342</v>
      </c>
      <c r="F83" s="3">
        <v>41.06</v>
      </c>
      <c r="G83" s="78">
        <v>5.12</v>
      </c>
      <c r="H83" s="78">
        <f>F83/G83</f>
        <v>8.01953125</v>
      </c>
      <c r="I83" s="78">
        <v>3.17</v>
      </c>
      <c r="J83" s="78">
        <v>12.94</v>
      </c>
      <c r="K83" s="3">
        <v>544</v>
      </c>
      <c r="L83" s="3">
        <v>306.01</v>
      </c>
      <c r="M83" s="78">
        <v>12.75</v>
      </c>
      <c r="N83" s="79">
        <f>M83/L83</f>
        <v>4.1665305055390345E-2</v>
      </c>
      <c r="O83">
        <v>0.56000000000000005</v>
      </c>
      <c r="P83" s="3">
        <f>L83*D83/100</f>
        <v>29.591166999999999</v>
      </c>
      <c r="Q83" s="2">
        <v>0.23</v>
      </c>
      <c r="R83" s="78">
        <v>0.33</v>
      </c>
      <c r="S83" s="78">
        <v>3.01</v>
      </c>
      <c r="T83" s="80" t="s">
        <v>226</v>
      </c>
      <c r="U83" s="2">
        <v>0.55000000000000004</v>
      </c>
      <c r="V83" s="80" t="s">
        <v>227</v>
      </c>
    </row>
    <row r="84" spans="1:22">
      <c r="A84" s="142" t="s">
        <v>366</v>
      </c>
      <c r="B84" s="77"/>
      <c r="C84" s="78"/>
      <c r="D84" s="78"/>
      <c r="E84" s="2"/>
      <c r="F84" s="3"/>
      <c r="G84" s="78"/>
      <c r="H84" s="78"/>
      <c r="I84" s="78"/>
      <c r="J84" s="78"/>
      <c r="K84" s="3"/>
      <c r="L84" s="3"/>
      <c r="M84" s="78"/>
      <c r="N84" s="79"/>
      <c r="P84" s="3"/>
      <c r="Q84" s="2"/>
      <c r="R84" s="78"/>
      <c r="S84" s="78"/>
      <c r="T84" s="80"/>
      <c r="U84" s="2"/>
      <c r="V84" s="80"/>
    </row>
    <row r="85" spans="1:22">
      <c r="A85" s="142" t="s">
        <v>367</v>
      </c>
      <c r="B85" s="77"/>
      <c r="C85" s="78"/>
      <c r="D85" s="78"/>
      <c r="E85" s="2"/>
      <c r="F85" s="3"/>
      <c r="G85" s="78"/>
      <c r="H85" s="78"/>
      <c r="I85" s="78"/>
      <c r="J85" s="78"/>
      <c r="K85" s="3"/>
      <c r="L85" s="3"/>
      <c r="M85" s="78"/>
      <c r="N85" s="79"/>
      <c r="P85" s="3"/>
      <c r="Q85" s="2"/>
      <c r="R85" s="78"/>
      <c r="S85" s="78"/>
      <c r="T85" s="80"/>
      <c r="U85" s="2"/>
      <c r="V85" s="80"/>
    </row>
    <row r="86" spans="1:22">
      <c r="A86" s="142" t="s">
        <v>368</v>
      </c>
      <c r="B86" s="77"/>
      <c r="C86" s="78"/>
      <c r="D86" s="78"/>
      <c r="E86" s="2"/>
      <c r="F86" s="3"/>
      <c r="G86" s="78"/>
      <c r="H86" s="78"/>
      <c r="I86" s="78"/>
      <c r="J86" s="78"/>
      <c r="K86" s="3"/>
      <c r="L86" s="3"/>
      <c r="M86" s="78"/>
      <c r="N86" s="79"/>
      <c r="P86" s="3"/>
      <c r="Q86" s="2"/>
      <c r="R86" s="78"/>
      <c r="S86" s="78"/>
      <c r="T86" s="80"/>
      <c r="U86" s="2"/>
      <c r="V86" s="80"/>
    </row>
    <row r="87" spans="1:22">
      <c r="A87" s="142" t="s">
        <v>369</v>
      </c>
      <c r="B87" s="77"/>
      <c r="C87" s="78"/>
      <c r="D87" s="78"/>
      <c r="E87" s="2"/>
      <c r="F87" s="3"/>
      <c r="G87" s="78"/>
      <c r="H87" s="78"/>
      <c r="I87" s="78"/>
      <c r="J87" s="78"/>
      <c r="K87" s="3"/>
      <c r="L87" s="3"/>
      <c r="M87" s="78"/>
      <c r="N87" s="79"/>
      <c r="P87" s="3"/>
      <c r="Q87" s="2"/>
      <c r="R87" s="78"/>
      <c r="S87" s="78"/>
      <c r="T87" s="80"/>
      <c r="U87" s="2"/>
      <c r="V87" s="80"/>
    </row>
    <row r="88" spans="1:22">
      <c r="A88" s="142" t="s">
        <v>370</v>
      </c>
      <c r="B88" s="77"/>
      <c r="C88" s="78"/>
      <c r="D88" s="78"/>
      <c r="E88" s="2"/>
      <c r="F88" s="3"/>
      <c r="G88" s="78"/>
      <c r="H88" s="78"/>
      <c r="I88" s="78"/>
      <c r="J88" s="78"/>
      <c r="K88" s="3"/>
      <c r="L88" s="3"/>
      <c r="M88" s="78"/>
      <c r="N88" s="79"/>
      <c r="P88" s="3"/>
      <c r="Q88" s="2"/>
      <c r="R88" s="78"/>
      <c r="S88" s="78"/>
      <c r="T88" s="80"/>
      <c r="U88" s="2"/>
      <c r="V88" s="80"/>
    </row>
    <row r="89" spans="1:22">
      <c r="A89" s="142" t="s">
        <v>371</v>
      </c>
      <c r="B89" s="77"/>
      <c r="C89" s="78"/>
      <c r="D89" s="78"/>
      <c r="E89" s="2"/>
      <c r="F89" s="3"/>
      <c r="G89" s="78"/>
      <c r="H89" s="78"/>
      <c r="I89" s="78"/>
      <c r="J89" s="78"/>
      <c r="K89" s="3"/>
      <c r="L89" s="3"/>
      <c r="M89" s="78"/>
      <c r="N89" s="79"/>
      <c r="P89" s="3"/>
      <c r="Q89" s="2"/>
      <c r="R89" s="78"/>
      <c r="S89" s="78"/>
      <c r="T89" s="80"/>
      <c r="U89" s="2"/>
      <c r="V89" s="80"/>
    </row>
    <row r="90" spans="1:22">
      <c r="A90" s="142" t="s">
        <v>372</v>
      </c>
      <c r="B90" s="77"/>
      <c r="C90" s="78"/>
      <c r="D90" s="78"/>
      <c r="E90" s="2"/>
      <c r="F90" s="3"/>
      <c r="G90" s="78"/>
      <c r="H90" s="78"/>
      <c r="I90" s="78"/>
      <c r="J90" s="78"/>
      <c r="K90" s="3"/>
      <c r="L90" s="3"/>
      <c r="M90" s="78"/>
      <c r="N90" s="79"/>
      <c r="P90" s="3"/>
      <c r="Q90" s="2"/>
      <c r="R90" s="78"/>
      <c r="S90" s="78"/>
      <c r="T90" s="80"/>
      <c r="U90" s="2"/>
      <c r="V90" s="80"/>
    </row>
    <row r="91" spans="1:22">
      <c r="A91" s="142" t="s">
        <v>373</v>
      </c>
      <c r="B91" s="77"/>
      <c r="C91" s="78"/>
      <c r="D91" s="78"/>
      <c r="E91" s="2"/>
      <c r="F91" s="3"/>
      <c r="G91" s="78"/>
      <c r="H91" s="78"/>
      <c r="I91" s="78"/>
      <c r="J91" s="78"/>
      <c r="K91" s="3"/>
      <c r="L91" s="3"/>
      <c r="M91" s="78"/>
      <c r="N91" s="79"/>
      <c r="P91" s="3"/>
      <c r="Q91" s="2"/>
      <c r="R91" s="78"/>
      <c r="S91" s="78"/>
      <c r="T91" s="80"/>
      <c r="U91" s="2"/>
      <c r="V91" s="80"/>
    </row>
    <row r="92" spans="1:22">
      <c r="A92" s="142" t="s">
        <v>374</v>
      </c>
      <c r="B92" s="77"/>
      <c r="C92" s="78"/>
      <c r="D92" s="78"/>
      <c r="E92" s="2"/>
      <c r="F92" s="3"/>
      <c r="G92" s="78"/>
      <c r="H92" s="78"/>
      <c r="I92" s="78"/>
      <c r="J92" s="78"/>
      <c r="K92" s="3"/>
      <c r="L92" s="3"/>
      <c r="M92" s="78"/>
      <c r="N92" s="79"/>
      <c r="P92" s="3"/>
      <c r="Q92" s="2"/>
      <c r="R92" s="78"/>
      <c r="S92" s="78"/>
      <c r="T92" s="80"/>
      <c r="U92" s="2"/>
      <c r="V92" s="80"/>
    </row>
    <row r="93" spans="1:22">
      <c r="A93" s="142" t="s">
        <v>375</v>
      </c>
      <c r="B93" s="77"/>
      <c r="C93" s="78"/>
      <c r="D93" s="78"/>
      <c r="E93" s="2"/>
      <c r="F93" s="3"/>
      <c r="G93" s="78"/>
      <c r="H93" s="78"/>
      <c r="I93" s="78"/>
      <c r="J93" s="78"/>
      <c r="K93" s="3"/>
      <c r="L93" s="3"/>
      <c r="M93" s="78"/>
      <c r="N93" s="79"/>
      <c r="P93" s="3"/>
      <c r="Q93" s="2"/>
      <c r="R93" s="78"/>
      <c r="S93" s="78"/>
      <c r="T93" s="80"/>
      <c r="U93" s="2"/>
      <c r="V93" s="80"/>
    </row>
    <row r="94" spans="1:22">
      <c r="A94" s="142" t="s">
        <v>376</v>
      </c>
      <c r="B94" s="77"/>
      <c r="C94" s="78"/>
      <c r="D94" s="78"/>
      <c r="E94" s="2"/>
      <c r="F94" s="3"/>
      <c r="G94" s="78"/>
      <c r="H94" s="78"/>
      <c r="I94" s="78"/>
      <c r="J94" s="78"/>
      <c r="K94" s="3"/>
      <c r="L94" s="3"/>
      <c r="M94" s="78"/>
      <c r="N94" s="79"/>
      <c r="P94" s="3"/>
      <c r="Q94" s="2"/>
      <c r="R94" s="78"/>
      <c r="S94" s="78"/>
      <c r="T94" s="80"/>
      <c r="U94" s="2"/>
      <c r="V94" s="80"/>
    </row>
    <row r="95" spans="1:22">
      <c r="A95" s="142" t="s">
        <v>377</v>
      </c>
      <c r="B95" s="77"/>
      <c r="C95" s="78"/>
      <c r="D95" s="78"/>
      <c r="E95" s="2"/>
      <c r="F95" s="3"/>
      <c r="G95" s="78"/>
      <c r="H95" s="78"/>
      <c r="I95" s="78"/>
      <c r="J95" s="78"/>
      <c r="K95" s="3"/>
      <c r="L95" s="3"/>
      <c r="M95" s="78"/>
      <c r="N95" s="79"/>
      <c r="P95" s="3"/>
      <c r="Q95" s="2"/>
      <c r="R95" s="78"/>
      <c r="S95" s="78"/>
      <c r="T95" s="80"/>
      <c r="U95" s="2"/>
      <c r="V95" s="80"/>
    </row>
    <row r="96" spans="1:22">
      <c r="A96" s="142" t="s">
        <v>378</v>
      </c>
      <c r="B96" s="77"/>
      <c r="C96" s="78"/>
      <c r="D96" s="78"/>
      <c r="E96" s="2"/>
      <c r="F96" s="3"/>
      <c r="G96" s="78"/>
      <c r="H96" s="78"/>
      <c r="I96" s="78"/>
      <c r="J96" s="78"/>
      <c r="K96" s="3"/>
      <c r="L96" s="3"/>
      <c r="M96" s="78"/>
      <c r="N96" s="79"/>
      <c r="P96" s="3"/>
      <c r="Q96" s="2"/>
      <c r="R96" s="78"/>
      <c r="S96" s="78"/>
      <c r="T96" s="80"/>
      <c r="U96" s="2"/>
      <c r="V96" s="80"/>
    </row>
    <row r="97" spans="1:22">
      <c r="A97" s="142" t="s">
        <v>379</v>
      </c>
      <c r="B97" s="77"/>
      <c r="C97" s="78"/>
      <c r="D97" s="78"/>
      <c r="E97" s="2"/>
      <c r="F97" s="3"/>
      <c r="G97" s="78"/>
      <c r="H97" s="78"/>
      <c r="I97" s="78"/>
      <c r="J97" s="78"/>
      <c r="K97" s="3"/>
      <c r="L97" s="3"/>
      <c r="M97" s="78"/>
      <c r="N97" s="79"/>
      <c r="P97" s="3"/>
      <c r="Q97" s="2"/>
      <c r="R97" s="78"/>
      <c r="S97" s="78"/>
      <c r="T97" s="80"/>
      <c r="U97" s="2"/>
      <c r="V97" s="80"/>
    </row>
    <row r="98" spans="1:22">
      <c r="A98" s="142" t="s">
        <v>380</v>
      </c>
      <c r="B98" s="77"/>
      <c r="C98" s="78"/>
      <c r="D98" s="78"/>
      <c r="E98" s="2"/>
      <c r="F98" s="3"/>
      <c r="G98" s="78"/>
      <c r="H98" s="78"/>
      <c r="I98" s="78"/>
      <c r="J98" s="78"/>
      <c r="K98" s="3"/>
      <c r="L98" s="3"/>
      <c r="M98" s="78"/>
      <c r="N98" s="79"/>
      <c r="P98" s="3"/>
      <c r="Q98" s="2"/>
      <c r="R98" s="78"/>
      <c r="S98" s="78"/>
      <c r="T98" s="80"/>
      <c r="U98" s="2"/>
      <c r="V98" s="80"/>
    </row>
    <row r="99" spans="1:22">
      <c r="A99" s="142" t="s">
        <v>381</v>
      </c>
      <c r="B99" s="77"/>
      <c r="C99" s="78"/>
      <c r="D99" s="78"/>
      <c r="E99" s="2"/>
      <c r="F99" s="3"/>
      <c r="G99" s="78"/>
      <c r="H99" s="78"/>
      <c r="I99" s="78"/>
      <c r="J99" s="78"/>
      <c r="K99" s="3"/>
      <c r="L99" s="3"/>
      <c r="M99" s="78"/>
      <c r="N99" s="79"/>
      <c r="P99" s="3"/>
      <c r="Q99" s="2"/>
      <c r="R99" s="78"/>
      <c r="S99" s="78"/>
      <c r="T99" s="80"/>
      <c r="U99" s="2"/>
      <c r="V99" s="80"/>
    </row>
    <row r="100" spans="1:22">
      <c r="A100" s="142" t="s">
        <v>382</v>
      </c>
      <c r="B100" s="77"/>
      <c r="C100" s="78"/>
      <c r="D100" s="78"/>
      <c r="E100" s="2"/>
      <c r="F100" s="3"/>
      <c r="G100" s="78"/>
      <c r="H100" s="78"/>
      <c r="I100" s="78"/>
      <c r="J100" s="78"/>
      <c r="K100" s="3"/>
      <c r="L100" s="3"/>
      <c r="M100" s="78"/>
      <c r="N100" s="79"/>
      <c r="P100" s="3"/>
      <c r="Q100" s="2"/>
      <c r="R100" s="78"/>
      <c r="S100" s="78"/>
      <c r="T100" s="80"/>
      <c r="U100" s="2"/>
      <c r="V100" s="80"/>
    </row>
    <row r="101" spans="1:22">
      <c r="A101" s="142" t="s">
        <v>383</v>
      </c>
      <c r="B101" s="77"/>
      <c r="C101" s="78"/>
      <c r="D101" s="78"/>
      <c r="E101" s="2"/>
      <c r="F101" s="3"/>
      <c r="G101" s="78"/>
      <c r="H101" s="78"/>
      <c r="I101" s="78"/>
      <c r="J101" s="78"/>
      <c r="K101" s="3"/>
      <c r="L101" s="3"/>
      <c r="M101" s="78"/>
      <c r="N101" s="79"/>
      <c r="P101" s="3"/>
      <c r="Q101" s="2"/>
      <c r="R101" s="78"/>
      <c r="S101" s="78"/>
      <c r="T101" s="80"/>
      <c r="U101" s="2"/>
      <c r="V101" s="80"/>
    </row>
    <row r="102" spans="1:22">
      <c r="A102" s="142" t="s">
        <v>384</v>
      </c>
      <c r="B102" s="77"/>
      <c r="C102" s="78"/>
      <c r="D102" s="78"/>
      <c r="E102" s="2"/>
      <c r="F102" s="3"/>
      <c r="G102" s="78"/>
      <c r="H102" s="78"/>
      <c r="I102" s="78"/>
      <c r="J102" s="78"/>
      <c r="K102" s="3"/>
      <c r="L102" s="3"/>
      <c r="M102" s="78"/>
      <c r="N102" s="79"/>
      <c r="P102" s="3"/>
      <c r="Q102" s="2"/>
      <c r="R102" s="78"/>
      <c r="S102" s="78"/>
      <c r="T102" s="80"/>
      <c r="U102" s="2"/>
      <c r="V102" s="80"/>
    </row>
    <row r="103" spans="1:22">
      <c r="A103" s="142" t="s">
        <v>385</v>
      </c>
      <c r="B103" s="77"/>
      <c r="C103" s="78"/>
      <c r="D103" s="78"/>
      <c r="E103" s="2"/>
      <c r="F103" s="3"/>
      <c r="G103" s="78"/>
      <c r="H103" s="78"/>
      <c r="I103" s="78"/>
      <c r="J103" s="78"/>
      <c r="K103" s="3"/>
      <c r="L103" s="3"/>
      <c r="M103" s="78"/>
      <c r="N103" s="79"/>
      <c r="P103" s="3"/>
      <c r="Q103" s="2"/>
      <c r="R103" s="78"/>
      <c r="S103" s="78"/>
      <c r="T103" s="80"/>
      <c r="U103" s="2"/>
      <c r="V103" s="80"/>
    </row>
  </sheetData>
  <sortState xmlns:xlrd2="http://schemas.microsoft.com/office/spreadsheetml/2017/richdata2" ref="A13:V83">
    <sortCondition ref="A83"/>
  </sortState>
  <dataConsolidate/>
  <phoneticPr fontId="41" type="noConversion"/>
  <conditionalFormatting sqref="U13:U21 C13:F80 H13:L80 G14:G80 O13:Q103 U24:U103">
    <cfRule type="cellIs" dxfId="21" priority="67" operator="lessThanOrEqual">
      <formula>C$11</formula>
    </cfRule>
    <cfRule type="cellIs" dxfId="20" priority="68" operator="between">
      <formula>C$12</formula>
      <formula>C$11</formula>
    </cfRule>
    <cfRule type="cellIs" dxfId="19" priority="69" operator="greaterThanOrEqual">
      <formula>C$12</formula>
    </cfRule>
  </conditionalFormatting>
  <conditionalFormatting sqref="R13:S80 M13:N103">
    <cfRule type="cellIs" dxfId="18" priority="70" operator="greaterThanOrEqual">
      <formula>M$12</formula>
    </cfRule>
    <cfRule type="cellIs" dxfId="17" priority="71" operator="between">
      <formula>M$12</formula>
      <formula>M$11</formula>
    </cfRule>
    <cfRule type="cellIs" dxfId="16" priority="72" operator="lessThan">
      <formula>M$11</formula>
    </cfRule>
  </conditionalFormatting>
  <conditionalFormatting sqref="G13">
    <cfRule type="cellIs" dxfId="15" priority="19" operator="lessThanOrEqual">
      <formula>G$11</formula>
    </cfRule>
    <cfRule type="cellIs" dxfId="14" priority="20" operator="between">
      <formula>G$12</formula>
      <formula>G$11</formula>
    </cfRule>
    <cfRule type="cellIs" dxfId="13" priority="21" operator="greaterThanOrEqual">
      <formula>G$12</formula>
    </cfRule>
  </conditionalFormatting>
  <conditionalFormatting sqref="U22:U23">
    <cfRule type="cellIs" dxfId="12" priority="13" operator="lessThanOrEqual">
      <formula>U$11</formula>
    </cfRule>
    <cfRule type="cellIs" dxfId="11" priority="14" operator="between">
      <formula>U$12</formula>
      <formula>U$11</formula>
    </cfRule>
    <cfRule type="cellIs" dxfId="10" priority="15" operator="greaterThanOrEqual">
      <formula>U$12</formula>
    </cfRule>
  </conditionalFormatting>
  <conditionalFormatting sqref="C81:L103">
    <cfRule type="cellIs" dxfId="9" priority="1" operator="lessThanOrEqual">
      <formula>C$11</formula>
    </cfRule>
    <cfRule type="cellIs" dxfId="8" priority="2" operator="between">
      <formula>C$12</formula>
      <formula>C$11</formula>
    </cfRule>
    <cfRule type="cellIs" dxfId="7" priority="3" operator="greaterThanOrEqual">
      <formula>C$12</formula>
    </cfRule>
  </conditionalFormatting>
  <conditionalFormatting sqref="R81:S103">
    <cfRule type="cellIs" dxfId="6" priority="4" operator="greaterThanOrEqual">
      <formula>R$12</formula>
    </cfRule>
    <cfRule type="cellIs" dxfId="5" priority="5" operator="between">
      <formula>R$12</formula>
      <formula>R$11</formula>
    </cfRule>
    <cfRule type="cellIs" dxfId="4" priority="6" operator="lessThan">
      <formula>R$11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812C-9D7F-4229-B709-5EE06A1C0661}">
  <sheetPr>
    <tabColor theme="4"/>
  </sheetPr>
  <dimension ref="A1:H40"/>
  <sheetViews>
    <sheetView zoomScaleNormal="100" workbookViewId="0">
      <pane ySplit="2" topLeftCell="A24" activePane="bottomLeft" state="frozen"/>
      <selection pane="bottomLeft" activeCell="E37" sqref="E37"/>
    </sheetView>
  </sheetViews>
  <sheetFormatPr defaultColWidth="11.42578125" defaultRowHeight="15"/>
  <cols>
    <col min="1" max="1" width="41.7109375" bestFit="1" customWidth="1"/>
    <col min="2" max="2" width="6.42578125" bestFit="1" customWidth="1"/>
    <col min="3" max="3" width="14.5703125" bestFit="1" customWidth="1"/>
    <col min="4" max="4" width="135" bestFit="1" customWidth="1"/>
    <col min="5" max="5" width="45.42578125" bestFit="1" customWidth="1"/>
  </cols>
  <sheetData>
    <row r="1" spans="1:8" ht="45" customHeight="1">
      <c r="A1" s="26"/>
      <c r="C1" s="20"/>
      <c r="D1" s="20"/>
      <c r="E1" s="6"/>
      <c r="F1" s="4"/>
      <c r="G1" s="20"/>
      <c r="H1" s="3"/>
    </row>
    <row r="2" spans="1:8" ht="20.25" thickBot="1">
      <c r="A2" s="24" t="s">
        <v>77</v>
      </c>
      <c r="B2" s="144" t="s">
        <v>386</v>
      </c>
      <c r="C2" s="144" t="s">
        <v>387</v>
      </c>
      <c r="D2" s="144" t="s">
        <v>84</v>
      </c>
      <c r="E2" s="144" t="s">
        <v>24</v>
      </c>
      <c r="F2" s="4"/>
      <c r="G2" s="20"/>
      <c r="H2" s="3"/>
    </row>
    <row r="3" spans="1:8" ht="15.75" thickTop="1">
      <c r="F3" s="4"/>
      <c r="G3" s="20"/>
      <c r="H3" s="3"/>
    </row>
    <row r="4" spans="1:8" ht="18" thickBot="1">
      <c r="A4" s="82" t="s">
        <v>388</v>
      </c>
      <c r="B4" s="82"/>
      <c r="C4" s="82"/>
      <c r="D4" s="82"/>
      <c r="E4" s="82"/>
      <c r="F4" s="4"/>
      <c r="G4" s="20"/>
      <c r="H4" s="3"/>
    </row>
    <row r="5" spans="1:8" ht="15.75" thickTop="1">
      <c r="A5" t="s">
        <v>389</v>
      </c>
      <c r="B5" s="40">
        <v>24</v>
      </c>
      <c r="C5" s="21" t="s">
        <v>390</v>
      </c>
      <c r="D5" s="21"/>
      <c r="F5" s="4"/>
      <c r="G5" s="20"/>
      <c r="H5" s="3"/>
    </row>
    <row r="6" spans="1:8">
      <c r="A6" t="s">
        <v>391</v>
      </c>
      <c r="B6" s="35">
        <v>365.25</v>
      </c>
      <c r="C6" s="21" t="s">
        <v>168</v>
      </c>
      <c r="D6" s="21"/>
      <c r="F6" s="4"/>
      <c r="G6" s="20"/>
      <c r="H6" s="3"/>
    </row>
    <row r="7" spans="1:8">
      <c r="A7" t="s">
        <v>392</v>
      </c>
      <c r="B7" s="41">
        <f>B6*24</f>
        <v>8766</v>
      </c>
      <c r="C7" s="21" t="s">
        <v>390</v>
      </c>
      <c r="D7" s="21"/>
      <c r="E7" s="22"/>
      <c r="F7" s="4"/>
      <c r="G7" s="20"/>
      <c r="H7" s="3"/>
    </row>
    <row r="8" spans="1:8" ht="15.75">
      <c r="A8" t="s">
        <v>393</v>
      </c>
      <c r="B8" s="41">
        <v>315</v>
      </c>
      <c r="C8" s="21" t="s">
        <v>394</v>
      </c>
      <c r="D8" s="38" t="s">
        <v>395</v>
      </c>
      <c r="E8" s="37" t="s">
        <v>396</v>
      </c>
      <c r="F8" s="4"/>
      <c r="G8" s="20"/>
      <c r="H8" s="3"/>
    </row>
    <row r="9" spans="1:8" ht="15.75">
      <c r="A9" t="s">
        <v>397</v>
      </c>
      <c r="B9" s="36">
        <v>9.968</v>
      </c>
      <c r="C9" s="21" t="s">
        <v>398</v>
      </c>
      <c r="D9" s="38" t="s">
        <v>399</v>
      </c>
      <c r="F9" s="4"/>
      <c r="G9" s="20"/>
      <c r="H9" s="3"/>
    </row>
    <row r="10" spans="1:8" ht="15.75">
      <c r="A10" t="s">
        <v>400</v>
      </c>
      <c r="B10" s="71">
        <v>2.24E-2</v>
      </c>
      <c r="C10" s="21" t="s">
        <v>401</v>
      </c>
      <c r="D10" s="38"/>
    </row>
    <row r="11" spans="1:8" ht="18">
      <c r="A11" t="s">
        <v>402</v>
      </c>
      <c r="B11" s="36">
        <f>12.0107+4*1.0079</f>
        <v>16.042300000000001</v>
      </c>
      <c r="C11" s="21" t="s">
        <v>403</v>
      </c>
      <c r="D11" s="38"/>
    </row>
    <row r="12" spans="1:8" ht="18">
      <c r="A12" t="s">
        <v>404</v>
      </c>
      <c r="B12" s="36">
        <f>12.0107+2*15.9994</f>
        <v>44.009500000000003</v>
      </c>
      <c r="C12" s="21" t="s">
        <v>403</v>
      </c>
      <c r="D12" s="38"/>
    </row>
    <row r="13" spans="1:8">
      <c r="B13" s="21"/>
      <c r="C13" s="21"/>
      <c r="D13" s="38"/>
    </row>
    <row r="14" spans="1:8" ht="18" thickBot="1">
      <c r="A14" s="82" t="s">
        <v>405</v>
      </c>
      <c r="B14" s="82"/>
      <c r="C14" s="82"/>
      <c r="D14" s="82"/>
      <c r="E14" s="82"/>
    </row>
    <row r="15" spans="1:8" ht="25.5" thickTop="1">
      <c r="A15" t="s">
        <v>406</v>
      </c>
      <c r="B15" s="35">
        <v>0.37</v>
      </c>
      <c r="C15" s="23" t="s">
        <v>407</v>
      </c>
      <c r="D15" s="38" t="s">
        <v>408</v>
      </c>
      <c r="E15" s="37" t="s">
        <v>409</v>
      </c>
    </row>
    <row r="16" spans="1:8" ht="24.75">
      <c r="A16" t="s">
        <v>410</v>
      </c>
      <c r="B16" s="35">
        <f>780/(2295-665)</f>
        <v>0.4785276073619632</v>
      </c>
      <c r="C16" s="23" t="s">
        <v>411</v>
      </c>
      <c r="D16" s="38" t="s">
        <v>412</v>
      </c>
      <c r="E16" s="37" t="s">
        <v>409</v>
      </c>
    </row>
    <row r="17" spans="1:5" ht="15.75">
      <c r="A17" t="s">
        <v>413</v>
      </c>
      <c r="B17" s="39">
        <f>1-B16-B15</f>
        <v>0.1514723926380368</v>
      </c>
      <c r="C17" s="23" t="s">
        <v>411</v>
      </c>
      <c r="D17" s="38" t="s">
        <v>414</v>
      </c>
    </row>
    <row r="18" spans="1:5" ht="17.25">
      <c r="A18" t="s">
        <v>243</v>
      </c>
      <c r="B18" s="35">
        <v>35</v>
      </c>
      <c r="C18" t="s">
        <v>415</v>
      </c>
      <c r="D18" s="76" t="s">
        <v>416</v>
      </c>
      <c r="E18" s="37" t="s">
        <v>417</v>
      </c>
    </row>
    <row r="19" spans="1:5" ht="17.25">
      <c r="A19" t="s">
        <v>327</v>
      </c>
      <c r="B19" s="35">
        <v>45</v>
      </c>
      <c r="C19" t="s">
        <v>415</v>
      </c>
      <c r="D19" s="76" t="s">
        <v>418</v>
      </c>
      <c r="E19" s="37" t="s">
        <v>417</v>
      </c>
    </row>
    <row r="20" spans="1:5" ht="17.25">
      <c r="A20" t="s">
        <v>419</v>
      </c>
      <c r="B20" s="35">
        <v>90</v>
      </c>
      <c r="C20" t="s">
        <v>415</v>
      </c>
      <c r="D20" s="76" t="s">
        <v>420</v>
      </c>
      <c r="E20" s="37" t="s">
        <v>417</v>
      </c>
    </row>
    <row r="21" spans="1:5">
      <c r="B21" s="21"/>
      <c r="C21" s="21"/>
      <c r="D21" s="38"/>
    </row>
    <row r="22" spans="1:5" ht="18" thickBot="1">
      <c r="A22" s="82" t="s">
        <v>421</v>
      </c>
      <c r="B22" s="82"/>
      <c r="C22" s="82"/>
      <c r="D22" s="82"/>
      <c r="E22" s="82"/>
    </row>
    <row r="23" spans="1:5" ht="16.5" thickTop="1">
      <c r="A23" t="s">
        <v>422</v>
      </c>
      <c r="B23" s="35">
        <v>0.99997499999999995</v>
      </c>
      <c r="C23" s="21" t="s">
        <v>423</v>
      </c>
      <c r="D23" s="38" t="s">
        <v>424</v>
      </c>
      <c r="E23" s="10"/>
    </row>
    <row r="24" spans="1:5" ht="24.75">
      <c r="A24" t="s">
        <v>425</v>
      </c>
      <c r="B24" s="67">
        <v>790</v>
      </c>
      <c r="C24" s="23" t="s">
        <v>426</v>
      </c>
      <c r="D24" s="38" t="s">
        <v>427</v>
      </c>
      <c r="E24" s="37" t="s">
        <v>428</v>
      </c>
    </row>
    <row r="25" spans="1:5" ht="24.75">
      <c r="A25" t="s">
        <v>429</v>
      </c>
      <c r="B25" s="67">
        <v>1250</v>
      </c>
      <c r="C25" s="23" t="s">
        <v>426</v>
      </c>
      <c r="D25" s="38" t="s">
        <v>427</v>
      </c>
      <c r="E25" s="37" t="s">
        <v>428</v>
      </c>
    </row>
    <row r="26" spans="1:5" ht="24.75">
      <c r="A26" t="s">
        <v>430</v>
      </c>
      <c r="B26" s="67">
        <v>700</v>
      </c>
      <c r="C26" s="23" t="s">
        <v>426</v>
      </c>
      <c r="D26" s="38" t="s">
        <v>427</v>
      </c>
      <c r="E26" s="37" t="s">
        <v>428</v>
      </c>
    </row>
    <row r="27" spans="1:5" ht="24.75">
      <c r="A27" t="s">
        <v>431</v>
      </c>
      <c r="B27" s="69">
        <v>0.5</v>
      </c>
      <c r="C27" s="23" t="s">
        <v>109</v>
      </c>
      <c r="D27" s="38" t="s">
        <v>432</v>
      </c>
      <c r="E27" s="37" t="s">
        <v>428</v>
      </c>
    </row>
    <row r="28" spans="1:5" ht="24.75">
      <c r="A28" t="s">
        <v>433</v>
      </c>
      <c r="B28" s="69">
        <v>0.68</v>
      </c>
      <c r="C28" s="23" t="s">
        <v>109</v>
      </c>
      <c r="D28" s="38" t="s">
        <v>432</v>
      </c>
      <c r="E28" s="37" t="s">
        <v>428</v>
      </c>
    </row>
    <row r="29" spans="1:5" ht="24.75">
      <c r="A29" t="s">
        <v>434</v>
      </c>
      <c r="B29" s="69">
        <v>0.71</v>
      </c>
      <c r="C29" s="23" t="s">
        <v>109</v>
      </c>
      <c r="D29" s="38" t="s">
        <v>432</v>
      </c>
      <c r="E29" s="37" t="s">
        <v>428</v>
      </c>
    </row>
    <row r="30" spans="1:5">
      <c r="A30" t="s">
        <v>435</v>
      </c>
      <c r="B30" s="69">
        <v>0.1</v>
      </c>
      <c r="C30" s="23" t="s">
        <v>109</v>
      </c>
      <c r="D30" s="38" t="s">
        <v>436</v>
      </c>
      <c r="E30" s="37" t="s">
        <v>396</v>
      </c>
    </row>
    <row r="31" spans="1:5">
      <c r="A31" t="s">
        <v>437</v>
      </c>
      <c r="B31" s="69">
        <f>1-B30</f>
        <v>0.9</v>
      </c>
      <c r="C31" s="23" t="s">
        <v>109</v>
      </c>
      <c r="D31" s="38" t="s">
        <v>438</v>
      </c>
      <c r="E31" s="37" t="s">
        <v>396</v>
      </c>
    </row>
    <row r="32" spans="1:5" ht="18">
      <c r="A32" t="s">
        <v>439</v>
      </c>
      <c r="B32" s="35">
        <v>5</v>
      </c>
      <c r="C32" s="21" t="s">
        <v>440</v>
      </c>
      <c r="D32" s="38" t="s">
        <v>441</v>
      </c>
      <c r="E32" s="37" t="s">
        <v>442</v>
      </c>
    </row>
    <row r="33" spans="1:5">
      <c r="A33" t="s">
        <v>443</v>
      </c>
      <c r="B33" s="35">
        <v>12</v>
      </c>
      <c r="C33" t="s">
        <v>168</v>
      </c>
      <c r="D33" s="38" t="s">
        <v>444</v>
      </c>
      <c r="E33" s="37" t="s">
        <v>396</v>
      </c>
    </row>
    <row r="34" spans="1:5">
      <c r="A34" t="s">
        <v>445</v>
      </c>
      <c r="B34" s="36">
        <v>2</v>
      </c>
      <c r="C34" s="23" t="s">
        <v>109</v>
      </c>
      <c r="D34" s="38" t="s">
        <v>446</v>
      </c>
      <c r="E34" s="37" t="s">
        <v>396</v>
      </c>
    </row>
    <row r="35" spans="1:5">
      <c r="D35" s="38"/>
    </row>
    <row r="36" spans="1:5" ht="20.25" thickBot="1">
      <c r="A36" s="24" t="s">
        <v>447</v>
      </c>
      <c r="D36" s="38"/>
    </row>
    <row r="37" spans="1:5" ht="18.75" thickTop="1">
      <c r="A37" t="s">
        <v>448</v>
      </c>
      <c r="B37" s="35">
        <v>1</v>
      </c>
      <c r="C37" s="23" t="s">
        <v>109</v>
      </c>
      <c r="D37" s="38" t="s">
        <v>449</v>
      </c>
      <c r="E37" s="37"/>
    </row>
    <row r="38" spans="1:5" ht="18">
      <c r="A38" t="s">
        <v>450</v>
      </c>
      <c r="B38" s="35">
        <v>1</v>
      </c>
      <c r="C38" s="23" t="s">
        <v>109</v>
      </c>
      <c r="D38" s="38" t="s">
        <v>451</v>
      </c>
      <c r="E38" s="37"/>
    </row>
    <row r="39" spans="1:5" ht="18.75">
      <c r="A39" t="s">
        <v>452</v>
      </c>
      <c r="B39" s="35">
        <v>1</v>
      </c>
      <c r="C39" s="23" t="s">
        <v>109</v>
      </c>
      <c r="D39" s="38" t="s">
        <v>453</v>
      </c>
      <c r="E39" s="37"/>
    </row>
    <row r="40" spans="1:5" ht="31.5">
      <c r="A40" t="s">
        <v>454</v>
      </c>
      <c r="B40" s="35">
        <v>1</v>
      </c>
      <c r="C40" s="23" t="s">
        <v>109</v>
      </c>
      <c r="D40" s="38" t="s">
        <v>455</v>
      </c>
      <c r="E40" s="37"/>
    </row>
  </sheetData>
  <pageMargins left="0.7" right="0.7" top="0.78740157499999996" bottom="0.85144927536231885" header="0.3" footer="0.3"/>
  <pageSetup paperSize="9" orientation="portrait" horizontalDpi="1200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7AB37-19FB-41BF-BAEC-138C0FA50D8D}">
  <sheetPr>
    <tabColor theme="7" tint="0.59999389629810485"/>
  </sheetPr>
  <dimension ref="A1:G12"/>
  <sheetViews>
    <sheetView workbookViewId="0">
      <pane xSplit="1" ySplit="4" topLeftCell="B5" activePane="bottomRight" state="frozen"/>
      <selection pane="bottomRight" activeCell="A5" sqref="A5"/>
      <selection pane="bottomLeft" activeCell="A5" sqref="A5"/>
      <selection pane="topRight" activeCell="B1" sqref="B1"/>
    </sheetView>
  </sheetViews>
  <sheetFormatPr defaultColWidth="11.42578125" defaultRowHeight="15"/>
  <cols>
    <col min="1" max="1" width="33" customWidth="1"/>
    <col min="2" max="2" width="17.85546875" customWidth="1"/>
    <col min="3" max="3" width="15.140625" bestFit="1" customWidth="1"/>
    <col min="4" max="4" width="2.85546875" customWidth="1"/>
  </cols>
  <sheetData>
    <row r="1" spans="1:7" ht="45" customHeight="1">
      <c r="A1" s="26"/>
      <c r="C1" s="20"/>
      <c r="D1" s="20"/>
      <c r="E1" s="4"/>
      <c r="F1" s="20"/>
      <c r="G1" s="3"/>
    </row>
    <row r="2" spans="1:7" ht="20.25" thickBot="1">
      <c r="A2" s="24" t="s">
        <v>456</v>
      </c>
      <c r="B2" s="24"/>
      <c r="C2" s="24"/>
    </row>
    <row r="3" spans="1:7" ht="15.75" thickTop="1"/>
    <row r="4" spans="1:7" ht="18" thickBot="1">
      <c r="A4" s="42" t="s">
        <v>201</v>
      </c>
      <c r="B4" s="42" t="s">
        <v>386</v>
      </c>
      <c r="C4" s="42" t="s">
        <v>387</v>
      </c>
    </row>
    <row r="5" spans="1:7" ht="17.45" customHeight="1" thickTop="1">
      <c r="A5" s="63"/>
      <c r="C5" t="s">
        <v>148</v>
      </c>
    </row>
    <row r="6" spans="1:7" ht="17.45" customHeight="1">
      <c r="A6" s="64" t="s">
        <v>457</v>
      </c>
      <c r="B6" s="34"/>
      <c r="C6" s="64" t="s">
        <v>458</v>
      </c>
    </row>
    <row r="7" spans="1:7" ht="17.45" customHeight="1" thickBot="1">
      <c r="A7" s="64" t="s">
        <v>459</v>
      </c>
      <c r="B7" s="66" t="e">
        <f>VLOOKUP(A5,Grundlagen!A18:B20,2,FALSE)</f>
        <v>#N/A</v>
      </c>
      <c r="C7" t="s">
        <v>415</v>
      </c>
    </row>
    <row r="8" spans="1:7" ht="17.45" customHeight="1" thickTop="1">
      <c r="A8" s="64" t="s">
        <v>460</v>
      </c>
      <c r="B8" s="173" t="e">
        <f>B6*B7/1000</f>
        <v>#N/A</v>
      </c>
      <c r="C8" t="s">
        <v>461</v>
      </c>
    </row>
    <row r="9" spans="1:7" ht="17.45" customHeight="1">
      <c r="A9" s="64" t="s">
        <v>462</v>
      </c>
      <c r="B9" s="143"/>
      <c r="C9" s="64" t="s">
        <v>463</v>
      </c>
    </row>
    <row r="10" spans="1:7" ht="17.45" customHeight="1" thickBot="1">
      <c r="A10" s="49" t="s">
        <v>49</v>
      </c>
      <c r="B10" s="65" t="e">
        <f>B8/B9</f>
        <v>#N/A</v>
      </c>
      <c r="C10" s="49" t="s">
        <v>464</v>
      </c>
    </row>
    <row r="11" spans="1:7" ht="15.75" thickTop="1"/>
    <row r="12" spans="1:7">
      <c r="A12" s="60" t="s">
        <v>465</v>
      </c>
      <c r="B12" s="85"/>
      <c r="C12" t="s">
        <v>466</v>
      </c>
    </row>
  </sheetData>
  <dataValidations count="2">
    <dataValidation allowBlank="1" showInputMessage="1" promptTitle="Zahl eingeben!" prompt="Die Anzahl Einwohnergleichwerte eingeben." sqref="B6" xr:uid="{2CAE7278-4799-4391-B942-2742475310C1}"/>
    <dataValidation allowBlank="1" showInputMessage="1" showErrorMessage="1" promptTitle="Wert eingeben!" prompt="Eine TS-Konzentration von 0.01 g L-1 entspricht 1%. " sqref="B9" xr:uid="{02D89161-7AA2-46A2-AD2A-2BCF31489E2C}"/>
  </dataValidations>
  <pageMargins left="0.7" right="0.7" top="0.78740157499999996" bottom="0.85144927536231885" header="0.3" footer="0.3"/>
  <pageSetup paperSize="9" orientation="portrait" horizontalDpi="1200" verticalDpi="1200" r:id="rId1"/>
  <headerFooter>
    <oddHeader xml:space="preserve">&amp;L&amp;"+,Fett"&amp;18&amp;A&amp;R&amp;"Cambria,Fett"&amp;18
</oddHeader>
    <oddFooter>&amp;L&amp;"+,Standard"&amp;9&amp;K00-047&amp;F&amp;R&amp;"+,Standard"&amp;9&amp;K00-047Florian Rüsch (ruec@zhaw.ch) 
Kühni Martin (kuhm@zhaw.ch)
Baier Urs (burs@zhaw.ch)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Substrat auswählen!" prompt="_x000a_" xr:uid="{2655660E-3F23-4246-B49D-D1A3387C51C3}">
          <x14:formula1>
            <xm:f>Grundlagen!$A$18:$A$20</xm:f>
          </x14:formula1>
          <xm:sqref>A5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0F92880247D4C86C63C076D65B51D" ma:contentTypeVersion="22" ma:contentTypeDescription="Create a new document." ma:contentTypeScope="" ma:versionID="4b88c3fc278a90bd147d3699b37f2176">
  <xsd:schema xmlns:xsd="http://www.w3.org/2001/XMLSchema" xmlns:xs="http://www.w3.org/2001/XMLSchema" xmlns:p="http://schemas.microsoft.com/office/2006/metadata/properties" xmlns:ns2="c6e27a8e-be36-46a7-be3f-f5da11d757a6" xmlns:ns3="1d0f2429-9481-49a5-88a5-98bae25842d6" targetNamespace="http://schemas.microsoft.com/office/2006/metadata/properties" ma:root="true" ma:fieldsID="8559058ee15dc8410b2c737f3030a978" ns2:_="" ns3:_="">
    <xsd:import namespace="c6e27a8e-be36-46a7-be3f-f5da11d757a6"/>
    <xsd:import namespace="1d0f2429-9481-49a5-88a5-98bae25842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27a8e-be36-46a7-be3f-f5da11d75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210aed9-ea04-4ef5-b6a1-16fe75db25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2429-9481-49a5-88a5-98bae25842d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7c79f6-6380-483a-adda-14c47c4b9cef}" ma:internalName="TaxCatchAll" ma:showField="CatchAllData" ma:web="1d0f2429-9481-49a5-88a5-98bae25842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27a8e-be36-46a7-be3f-f5da11d757a6">
      <Terms xmlns="http://schemas.microsoft.com/office/infopath/2007/PartnerControls"/>
    </lcf76f155ced4ddcb4097134ff3c332f>
    <TaxCatchAll xmlns="1d0f2429-9481-49a5-88a5-98bae25842d6" xsi:nil="true"/>
  </documentManagement>
</p:properties>
</file>

<file path=customXml/itemProps1.xml><?xml version="1.0" encoding="utf-8"?>
<ds:datastoreItem xmlns:ds="http://schemas.openxmlformats.org/officeDocument/2006/customXml" ds:itemID="{84450DD5-2ECA-4BA5-8715-6745256B71FD}"/>
</file>

<file path=customXml/itemProps2.xml><?xml version="1.0" encoding="utf-8"?>
<ds:datastoreItem xmlns:ds="http://schemas.openxmlformats.org/officeDocument/2006/customXml" ds:itemID="{14705945-8691-4EE9-AF81-100C73555C74}"/>
</file>

<file path=customXml/itemProps3.xml><?xml version="1.0" encoding="utf-8"?>
<ds:datastoreItem xmlns:ds="http://schemas.openxmlformats.org/officeDocument/2006/customXml" ds:itemID="{A24DAAC0-1FB8-4ED1-BED6-67684AC6B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ZHAW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Rüsch Florian (ruec)</dc:creator>
  <cp:keywords/>
  <dc:description/>
  <cp:lastModifiedBy>Vittoria Fantozzi</cp:lastModifiedBy>
  <cp:revision/>
  <dcterms:created xsi:type="dcterms:W3CDTF">2017-11-03T07:38:30Z</dcterms:created>
  <dcterms:modified xsi:type="dcterms:W3CDTF">2025-12-19T14:00:40Z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d9bad3-6dac-4e9a-89a3-89f3b8d247b2_Enabled">
    <vt:lpwstr>true</vt:lpwstr>
  </property>
  <property fmtid="{D5CDD505-2E9C-101B-9397-08002B2CF9AE}" pid="3" name="MSIP_Label_10d9bad3-6dac-4e9a-89a3-89f3b8d247b2_SetDate">
    <vt:lpwstr>2021-04-15T07:50:45Z</vt:lpwstr>
  </property>
  <property fmtid="{D5CDD505-2E9C-101B-9397-08002B2CF9AE}" pid="4" name="MSIP_Label_10d9bad3-6dac-4e9a-89a3-89f3b8d247b2_Method">
    <vt:lpwstr>Standard</vt:lpwstr>
  </property>
  <property fmtid="{D5CDD505-2E9C-101B-9397-08002B2CF9AE}" pid="5" name="MSIP_Label_10d9bad3-6dac-4e9a-89a3-89f3b8d247b2_Name">
    <vt:lpwstr>10d9bad3-6dac-4e9a-89a3-89f3b8d247b2</vt:lpwstr>
  </property>
  <property fmtid="{D5CDD505-2E9C-101B-9397-08002B2CF9AE}" pid="6" name="MSIP_Label_10d9bad3-6dac-4e9a-89a3-89f3b8d247b2_SiteId">
    <vt:lpwstr>5d1a9f9d-201f-4a10-b983-451cf65cbc1e</vt:lpwstr>
  </property>
  <property fmtid="{D5CDD505-2E9C-101B-9397-08002B2CF9AE}" pid="7" name="MSIP_Label_10d9bad3-6dac-4e9a-89a3-89f3b8d247b2_ActionId">
    <vt:lpwstr>fd2acb17-e949-4187-9379-89e220d73fb3</vt:lpwstr>
  </property>
  <property fmtid="{D5CDD505-2E9C-101B-9397-08002B2CF9AE}" pid="8" name="MSIP_Label_10d9bad3-6dac-4e9a-89a3-89f3b8d247b2_ContentBits">
    <vt:lpwstr>0</vt:lpwstr>
  </property>
  <property fmtid="{D5CDD505-2E9C-101B-9397-08002B2CF9AE}" pid="9" name="ContentTypeId">
    <vt:lpwstr>0x01010029C0F92880247D4C86C63C076D65B51D</vt:lpwstr>
  </property>
  <property fmtid="{D5CDD505-2E9C-101B-9397-08002B2CF9AE}" pid="10" name="MediaServiceImageTags">
    <vt:lpwstr/>
  </property>
</Properties>
</file>